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8_{558269B8-7D40-4A34-B774-247311B19AB3}" xr6:coauthVersionLast="46" xr6:coauthVersionMax="46" xr10:uidLastSave="{00000000-0000-0000-0000-000000000000}"/>
  <bookViews>
    <workbookView xWindow="-120" yWindow="-120" windowWidth="29040" windowHeight="15840" tabRatio="880" activeTab="1" xr2:uid="{00000000-000D-0000-FFFF-FFFF00000000}"/>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6c-EDIT" sheetId="49" r:id="rId12"/>
    <sheet name="6d - Prorated ADIT" sheetId="50" r:id="rId13"/>
    <sheet name="7 - True-Up" sheetId="17" r:id="rId14"/>
    <sheet name="8 - Const Loan True-up" sheetId="30" r:id="rId15"/>
    <sheet name="9- Depreciation Rates" sheetId="20" r:id="rId16"/>
    <sheet name="10 Lease O&amp;M, Other Tax and 413" sheetId="40" r:id="rId17"/>
    <sheet name="11 - Reg. Assets and Abnd Plnt" sheetId="45" r:id="rId18"/>
    <sheet name="12 - Unfunded Reserves" sheetId="46" r:id="rId19"/>
    <sheet name="13 - CWIP" sheetId="47" r:id="rId20"/>
    <sheet name="14 - Future Use" sheetId="48" r:id="rId21"/>
    <sheet name="WP1 - O&amp;M detail" sheetId="41" r:id="rId22"/>
    <sheet name="WP2 - A&amp;G detail" sheetId="42" r:id="rId23"/>
    <sheet name="WP3 - Cap Ex" sheetId="43" r:id="rId24"/>
    <sheet name="WP4 - Affiliate Allocations" sheetId="44"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R">#REF!</definedName>
    <definedName name="\S">#REF!</definedName>
    <definedName name="\V">#REF!</definedName>
    <definedName name="_____dat1111" localSheetId="16">[1]Sheet1!$G$2:$G$29</definedName>
    <definedName name="_____dat1111">[1]Sheet1!$G$2:$G$29</definedName>
    <definedName name="____dat1111" localSheetId="16">[1]Sheet1!$G$2:$G$29</definedName>
    <definedName name="____dat1111">[1]Sheet1!$G$2:$G$29</definedName>
    <definedName name="___dat1111" localSheetId="16">[1]Sheet1!$G$2:$G$29</definedName>
    <definedName name="___dat1111">[1]Sheet1!$G$2:$G$29</definedName>
    <definedName name="__dat1111" localSheetId="16">[1]Sheet1!$G$2:$G$29</definedName>
    <definedName name="__dat1111">[1]Sheet1!$G$2:$G$29</definedName>
    <definedName name="__tet12" hidden="1">{"assumptions",#N/A,FALSE,"Scenario 1";"valuation",#N/A,FALSE,"Scenario 1"}</definedName>
    <definedName name="__tet5" hidden="1">{"assumptions",#N/A,FALSE,"Scenario 1";"valuation",#N/A,FALSE,"Scenario 1"}</definedName>
    <definedName name="_1E_1">#N/A</definedName>
    <definedName name="_31_Dec_00">#REF!</definedName>
    <definedName name="_31_Jan_01">#REF!</definedName>
    <definedName name="_dat1111" localSheetId="16">[1]Sheet1!$G$2:$G$29</definedName>
    <definedName name="_dat1111">[1]Sheet1!$G$2:$G$29</definedName>
    <definedName name="_FEB01" hidden="1">{#N/A,#N/A,FALSE,"EMPPAY"}</definedName>
    <definedName name="_Fill" localSheetId="16" hidden="1">#REF!</definedName>
    <definedName name="_Fill" hidden="1">#REF!</definedName>
    <definedName name="_ftn1" localSheetId="1">'Appendix III'!$D$8</definedName>
    <definedName name="_ftnref1" localSheetId="1">'Appendix III'!$D$5</definedName>
    <definedName name="_JAN01" hidden="1">{#N/A,#N/A,FALSE,"EMPPAY"}</definedName>
    <definedName name="_JAN2001" hidden="1">{#N/A,#N/A,FALSE,"EMPPAY"}</definedName>
    <definedName name="_Order1" hidden="1">255</definedName>
    <definedName name="_Order2" hidden="1">255</definedName>
    <definedName name="_Sort"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aa" localSheetId="16" hidden="1">{#N/A,#N/A,FALSE,"O&amp;M by processes";#N/A,#N/A,FALSE,"Elec Act vs Bud";#N/A,#N/A,FALSE,"G&amp;A";#N/A,#N/A,FALSE,"BGS";#N/A,#N/A,FALSE,"Res Cost"}</definedName>
    <definedName name="aaa" localSheetId="24"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6" hidden="1">{#N/A,#N/A,FALSE,"O&amp;M by processes";#N/A,#N/A,FALSE,"Elec Act vs Bud";#N/A,#N/A,FALSE,"G&amp;A";#N/A,#N/A,FALSE,"BGS";#N/A,#N/A,FALSE,"Res Cost"}</definedName>
    <definedName name="aaaaaaaaaaaaaaa" localSheetId="24"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"AAB_Description for addin 5,Description for addin 5,Description for addin 5,Description for addin 5,Description for addin 5,Description for addin 5"</definedName>
    <definedName name="AC_255" localSheetId="16">'[2]AC 255'!$A$1:$M$32</definedName>
    <definedName name="AC_255">'[2]AC 255'!$A$1:$M$32</definedName>
    <definedName name="acc">#REF!</definedName>
    <definedName name="Acct_AZ_UNSG_By_Plant">#REF!</definedName>
    <definedName name="ACTDEM">#REF!</definedName>
    <definedName name="Actual" localSheetId="16">[3]Assumptions!$E$52</definedName>
    <definedName name="Actual">[3]Assumptions!$E$52</definedName>
    <definedName name="ACTUAL_DEMAND__KW">#REF!</definedName>
    <definedName name="Actual_Net_Rev_Req">#REF!</definedName>
    <definedName name="ADIT">#REF!</definedName>
    <definedName name="AEAlloc">#REF!</definedName>
    <definedName name="Alignment" hidden="1">"a1"</definedName>
    <definedName name="AllASS">[4]ALL!$B$25</definedName>
    <definedName name="ALLCGI">[4]ALL!$D$25</definedName>
    <definedName name="AllocationDate">#REF!</definedName>
    <definedName name="Allocators">#REF!</definedName>
    <definedName name="ALLRD">[4]ALL!$C$25</definedName>
    <definedName name="ALLSKP">[4]ALL!$E$25</definedName>
    <definedName name="anscount" hidden="1">1</definedName>
    <definedName name="APCFAC">#REF!</definedName>
    <definedName name="APCLF">#REF!</definedName>
    <definedName name="APCMW">#REF!</definedName>
    <definedName name="APCMWH">#REF!</definedName>
    <definedName name="AS2DocOpenMode" hidden="1">"AS2DocumentEdit"</definedName>
    <definedName name="B1P1">#REF!</definedName>
    <definedName name="BALANCE" localSheetId="16">'[5]MTHLY BAL.'!$A$6:$O$89</definedName>
    <definedName name="BALANCE">'[5]MTHLY BAL.'!$A$6:$O$89</definedName>
    <definedName name="Balances">#REF!</definedName>
    <definedName name="Basis_Points" localSheetId="16">[3]Assumptions!$H$15</definedName>
    <definedName name="Basis_Points">[3]Assumptions!$H$15</definedName>
    <definedName name="bbb" localSheetId="16" hidden="1">{#N/A,#N/A,FALSE,"O&amp;M by processes";#N/A,#N/A,FALSE,"Elec Act vs Bud";#N/A,#N/A,FALSE,"G&amp;A";#N/A,#N/A,FALSE,"BGS";#N/A,#N/A,FALSE,"Res Cost"}</definedName>
    <definedName name="bbb" localSheetId="24"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6" hidden="1">{#N/A,#N/A,FALSE,"O&amp;M by processes";#N/A,#N/A,FALSE,"Elec Act vs Bud";#N/A,#N/A,FALSE,"G&amp;A";#N/A,#N/A,FALSE,"BGS";#N/A,#N/A,FALSE,"Res Cost"}</definedName>
    <definedName name="bbbb" localSheetId="24"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6" hidden="1">{#N/A,#N/A,FALSE,"O&amp;M by processes";#N/A,#N/A,FALSE,"Elec Act vs Bud";#N/A,#N/A,FALSE,"G&amp;A";#N/A,#N/A,FALSE,"BGS";#N/A,#N/A,FALSE,"Res Cost"}</definedName>
    <definedName name="bbbbb" localSheetId="24"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6" hidden="1">{#N/A,#N/A,FALSE,"O&amp;M by processes";#N/A,#N/A,FALSE,"Elec Act vs Bud";#N/A,#N/A,FALSE,"G&amp;A";#N/A,#N/A,FALSE,"BGS";#N/A,#N/A,FALSE,"Res Cost"}</definedName>
    <definedName name="bbc" localSheetId="24" hidden="1">{#N/A,#N/A,FALSE,"O&amp;M by processes";#N/A,#N/A,FALSE,"Elec Act vs Bud";#N/A,#N/A,FALSE,"G&amp;A";#N/A,#N/A,FALSE,"BGS";#N/A,#N/A,FALSE,"Res Cost"}</definedName>
    <definedName name="bbc" hidden="1">{#N/A,#N/A,FALSE,"O&amp;M by processes";#N/A,#N/A,FALSE,"Elec Act vs Bud";#N/A,#N/A,FALSE,"G&amp;A";#N/A,#N/A,FALSE,"BGS";#N/A,#N/A,FALSE,"Res Cost"}</definedName>
    <definedName name="BBFAC">#REF!</definedName>
    <definedName name="BBLF">#REF!</definedName>
    <definedName name="BBMW">#REF!</definedName>
    <definedName name="BBMWH">#REF!</definedName>
    <definedName name="beg_CWIP" localSheetId="16">'[6]Input Page'!$E$14</definedName>
    <definedName name="beg_CWIP">'[6]Input Page'!$E$14</definedName>
    <definedName name="bench">#REF!</definedName>
    <definedName name="BGS_Cost_Scenario" localSheetId="16">[3]Assumptions!$E$33</definedName>
    <definedName name="BGS_Cost_Scenario">[3]Assumptions!$E$33</definedName>
    <definedName name="BGS_RFP" localSheetId="16">[3]Assumptions!$E$36</definedName>
    <definedName name="BGS_RFP">[3]Assumptions!$E$36</definedName>
    <definedName name="BILLED_HOURS">#REF!</definedName>
    <definedName name="BILLING_DEMAND__KW">#REF!</definedName>
    <definedName name="BLE_Close_Date" localSheetId="16">[7]Assumptions!$E$28</definedName>
    <definedName name="BLE_Close_Date">[7]Assumptions!$E$28</definedName>
    <definedName name="BPAAlloc">#REF!</definedName>
    <definedName name="BPACustAlloc">#REF!</definedName>
    <definedName name="BPAGenAlloc">#REF!</definedName>
    <definedName name="BPAGenHeader">#REF!</definedName>
    <definedName name="BRDMONTH">#REF!</definedName>
    <definedName name="BRDMONTH12">#REF!</definedName>
    <definedName name="BRDQTR">#REF!</definedName>
    <definedName name="BRDYTD">#REF!</definedName>
    <definedName name="BRMAT">#REF!</definedName>
    <definedName name="CAAAlloc">#REF!</definedName>
    <definedName name="can" localSheetId="16" hidden="1">{#N/A,#N/A,FALSE,"O&amp;M by processes";#N/A,#N/A,FALSE,"Elec Act vs Bud";#N/A,#N/A,FALSE,"G&amp;A";#N/A,#N/A,FALSE,"BGS";#N/A,#N/A,FALSE,"Res Cost"}</definedName>
    <definedName name="can" localSheetId="24" hidden="1">{#N/A,#N/A,FALSE,"O&amp;M by processes";#N/A,#N/A,FALSE,"Elec Act vs Bud";#N/A,#N/A,FALSE,"G&amp;A";#N/A,#N/A,FALSE,"BGS";#N/A,#N/A,FALSE,"Res Cost"}</definedName>
    <definedName name="can" hidden="1">{#N/A,#N/A,FALSE,"O&amp;M by processes";#N/A,#N/A,FALSE,"Elec Act vs Bud";#N/A,#N/A,FALSE,"G&amp;A";#N/A,#N/A,FALSE,"BGS";#N/A,#N/A,FALSE,"Res Cost"}</definedName>
    <definedName name="CandAByCust">#REF!</definedName>
    <definedName name="CandAByFunc">#REF!</definedName>
    <definedName name="cap">#REF!</definedName>
    <definedName name="cap_interest" localSheetId="16">'[6]Input Page'!$E$12</definedName>
    <definedName name="cap_interest">'[6]Input Page'!$E$12</definedName>
    <definedName name="ccc" localSheetId="16" hidden="1">{#N/A,#N/A,FALSE,"O&amp;M by processes";#N/A,#N/A,FALSE,"Elec Act vs Bud";#N/A,#N/A,FALSE,"G&amp;A";#N/A,#N/A,FALSE,"BGS";#N/A,#N/A,FALSE,"Res Cost"}</definedName>
    <definedName name="ccc" localSheetId="24"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6" hidden="1">{#N/A,#N/A,FALSE,"O&amp;M by processes";#N/A,#N/A,FALSE,"Elec Act vs Bud";#N/A,#N/A,FALSE,"G&amp;A";#N/A,#N/A,FALSE,"BGS";#N/A,#N/A,FALSE,"Res Cost"}</definedName>
    <definedName name="cccc" localSheetId="24" hidden="1">{#N/A,#N/A,FALSE,"O&amp;M by processes";#N/A,#N/A,FALSE,"Elec Act vs Bud";#N/A,#N/A,FALSE,"G&amp;A";#N/A,#N/A,FALSE,"BGS";#N/A,#N/A,FALSE,"Res Cost"}</definedName>
    <definedName name="cccc" hidden="1">{#N/A,#N/A,FALSE,"O&amp;M by processes";#N/A,#N/A,FALSE,"Elec Act vs Bud";#N/A,#N/A,FALSE,"G&amp;A";#N/A,#N/A,FALSE,"BGS";#N/A,#N/A,FALSE,"Res Cost"}</definedName>
    <definedName name="CENTS_KWH__GROSS">#REF!</definedName>
    <definedName name="CENTS_KWH__NET">#REF!</definedName>
    <definedName name="CEP_Amortization" localSheetId="16">'[7]JFJ-4 CEP Rate'!$A$28:$F$78</definedName>
    <definedName name="CEP_Amortization">'[7]JFJ-4 CEP Rate'!$A$28:$F$78</definedName>
    <definedName name="CH_COS">#REF!</definedName>
    <definedName name="CITYM">#REF!</definedName>
    <definedName name="CITYS">#REF!</definedName>
    <definedName name="CITYST">#REF!</definedName>
    <definedName name="CITYT">#REF!</definedName>
    <definedName name="Class">#REF!</definedName>
    <definedName name="ClassCode">#REF!</definedName>
    <definedName name="ClassCustomer">#REF!</definedName>
    <definedName name="ClassDA">#REF!</definedName>
    <definedName name="ClassFunction">#REF!</definedName>
    <definedName name="ClassMethod">#REF!</definedName>
    <definedName name="ClientMatter" hidden="1">"b1"</definedName>
    <definedName name="COGEN" localSheetId="16">'[8]October Tariff kwh'!$A$1:$H$83</definedName>
    <definedName name="COGEN">'[8]October Tariff kwh'!$A$1:$H$83</definedName>
    <definedName name="ColumnAttributes1">#REF!</definedName>
    <definedName name="ColumnHeadings1">#REF!</definedName>
    <definedName name="Columns">#REF!</definedName>
    <definedName name="compInc">[9]Inputs!$B$4</definedName>
    <definedName name="Consolid" localSheetId="16" hidden="1">{#N/A,#N/A,FALSE,"O&amp;M by processes";#N/A,#N/A,FALSE,"Elec Act vs Bud";#N/A,#N/A,FALSE,"G&amp;A";#N/A,#N/A,FALSE,"BGS";#N/A,#N/A,FALSE,"Res Cost"}</definedName>
    <definedName name="Consolid" localSheetId="24"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6" hidden="1">{#N/A,#N/A,FALSE,"O&amp;M by processes";#N/A,#N/A,FALSE,"Elec Act vs Bud";#N/A,#N/A,FALSE,"G&amp;A";#N/A,#N/A,FALSE,"BGS";#N/A,#N/A,FALSE,"Res Cost"}</definedName>
    <definedName name="Consolidated" localSheetId="24"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6">'[6]Input Page'!$E$7</definedName>
    <definedName name="cost_of_good_sold">'[6]Input Page'!$E$7</definedName>
    <definedName name="cost2001" localSheetId="16">[10]Input!$M$23</definedName>
    <definedName name="cost2001">[10]Input!$M$23</definedName>
    <definedName name="Cover">#REF!</definedName>
    <definedName name="cp">#REF!</definedName>
    <definedName name="CPAlloc">#REF!</definedName>
    <definedName name="CPHeader">#REF!</definedName>
    <definedName name="_xlnm.Criteria">#REF!</definedName>
    <definedName name="Current_sum">#REF!</definedName>
    <definedName name="custgrowth">#REF!</definedName>
    <definedName name="CUT" localSheetId="16">[11]AFUDC_CCRF!$A$1:$N$303</definedName>
    <definedName name="CUT">[11]AFUDC_CCRF!$A$1:$N$303</definedName>
    <definedName name="CUTINS" localSheetId="16">[11]AFUDC_CCRF!$A$73:$N$160</definedName>
    <definedName name="CUTINS">[11]AFUDC_CCRF!$A$73:$N$160</definedName>
    <definedName name="CYPRUSFAC">#REF!</definedName>
    <definedName name="CYPRUSLF">#REF!</definedName>
    <definedName name="CYPRUSMW">#REF!</definedName>
    <definedName name="CYPRUSMWH">#REF!</definedName>
    <definedName name="da" localSheetId="16" hidden="1">{#N/A,#N/A,FALSE,"O&amp;M by processes";#N/A,#N/A,FALSE,"Elec Act vs Bud";#N/A,#N/A,FALSE,"G&amp;A";#N/A,#N/A,FALSE,"BGS";#N/A,#N/A,FALSE,"Res Cost"}</definedName>
    <definedName name="da" localSheetId="24"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6" hidden="1">{#N/A,#N/A,FALSE,"O&amp;M by processes";#N/A,#N/A,FALSE,"Elec Act vs Bud";#N/A,#N/A,FALSE,"G&amp;A";#N/A,#N/A,FALSE,"BGS";#N/A,#N/A,FALSE,"Res Cost"}</definedName>
    <definedName name="dada" localSheetId="24"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6">[1]Sheet1!$B$2:$B$29</definedName>
    <definedName name="dae">[1]Sheet1!$B$2:$B$29</definedName>
    <definedName name="data">#REF!</definedName>
    <definedName name="data_3">[12]Permanent!$A$9:$O$20</definedName>
    <definedName name="_xlnm.Database">#REF!</definedName>
    <definedName name="DATABASE1">#REF!</definedName>
    <definedName name="Date" hidden="1">"b1"</definedName>
    <definedName name="DE">#REF!</definedName>
    <definedName name="DEC00" hidden="1">{#N/A,#N/A,FALSE,"ARREC"}</definedName>
    <definedName name="DefaultCopy">#REF!</definedName>
    <definedName name="DefaultPaste">#REF!</definedName>
    <definedName name="Deferral_Interest_Rate" localSheetId="16">[3]Assumptions!$H$14</definedName>
    <definedName name="Deferral_Interest_Rate">[3]Assumptions!$H$14</definedName>
    <definedName name="Deferral_Recovery" localSheetId="16">'[7]JFJ-1 Deferral Recovery Rate'!$A$14:$F$64</definedName>
    <definedName name="Deferral_Recovery">'[7]JFJ-1 Deferral Recovery Rate'!$A$14:$F$64</definedName>
    <definedName name="DefTax" localSheetId="16">[13]Lists!$A$2:$A$4</definedName>
    <definedName name="DefTax">[13]Lists!$A$2:$A$4</definedName>
    <definedName name="delete" localSheetId="16" hidden="1">{#N/A,#N/A,FALSE,"CURRENT"}</definedName>
    <definedName name="delete" localSheetId="24" hidden="1">{#N/A,#N/A,FALSE,"CURRENT"}</definedName>
    <definedName name="delete" hidden="1">{#N/A,#N/A,FALSE,"CURRENT"}</definedName>
    <definedName name="demand">#REF!</definedName>
    <definedName name="detail">#REF!</definedName>
    <definedName name="DMFAC">#REF!</definedName>
    <definedName name="DMLF">#REF!</definedName>
    <definedName name="DMMW">#REF!</definedName>
    <definedName name="DMMWH">#REF!</definedName>
    <definedName name="DocumentName" hidden="1">"b1"</definedName>
    <definedName name="DocumentNum" hidden="1">"a1"</definedName>
    <definedName name="DPROD">#REF!</definedName>
    <definedName name="draft">#REF!</definedName>
    <definedName name="e1p1">#REF!</definedName>
    <definedName name="e1p2">#REF!</definedName>
    <definedName name="e2p1">#REF!</definedName>
    <definedName name="e3p1">#REF!</definedName>
    <definedName name="e3p2">#REF!</definedName>
    <definedName name="e4p1">#REF!</definedName>
    <definedName name="e5p1">#REF!</definedName>
    <definedName name="e5p2">#REF!</definedName>
    <definedName name="e5p3">#REF!</definedName>
    <definedName name="e5p4">#REF!</definedName>
    <definedName name="e7p1">#REF!</definedName>
    <definedName name="e8p1">#REF!</definedName>
    <definedName name="eeee" localSheetId="16" hidden="1">{#N/A,#N/A,FALSE,"O&amp;M by processes";#N/A,#N/A,FALSE,"Elec Act vs Bud";#N/A,#N/A,FALSE,"G&amp;A";#N/A,#N/A,FALSE,"BGS";#N/A,#N/A,FALSE,"Res Cost"}</definedName>
    <definedName name="eeee" localSheetId="24" hidden="1">{#N/A,#N/A,FALSE,"O&amp;M by processes";#N/A,#N/A,FALSE,"Elec Act vs Bud";#N/A,#N/A,FALSE,"G&amp;A";#N/A,#N/A,FALSE,"BGS";#N/A,#N/A,FALSE,"Res Cost"}</definedName>
    <definedName name="eeee" hidden="1">{#N/A,#N/A,FALSE,"O&amp;M by processes";#N/A,#N/A,FALSE,"Elec Act vs Bud";#N/A,#N/A,FALSE,"G&amp;A";#N/A,#N/A,FALSE,"BGS";#N/A,#N/A,FALSE,"Res Cost"}</definedName>
    <definedName name="ENERGYSALES">#REF!</definedName>
    <definedName name="EROA">[9]Inputs!$B$3</definedName>
    <definedName name="EV__LASTREFTIME__" hidden="1">39826.8319444444</definedName>
    <definedName name="_xlnm.Extract">#REF!</definedName>
    <definedName name="f1p1">#REF!</definedName>
    <definedName name="FEB00" hidden="1">{#N/A,#N/A,FALSE,"ARREC"}</definedName>
    <definedName name="fed_inc_tax" localSheetId="16">'[6]Input Page'!$E$9</definedName>
    <definedName name="fed_inc_tax">'[6]Input Page'!$E$9</definedName>
    <definedName name="firstcust">#REF!</definedName>
    <definedName name="firstkwh">#REF!</definedName>
    <definedName name="ForcastRev">#REF!</definedName>
    <definedName name="ForecastRev72">#REF!</definedName>
    <definedName name="ForecastRev73">#REF!</definedName>
    <definedName name="ForecastRevHeader">#REF!</definedName>
    <definedName name="ForecastRevHeader72">#REF!</definedName>
    <definedName name="Fossil_BGS" localSheetId="16">[7]Assumptions!$E$58</definedName>
    <definedName name="Fossil_BGS">[7]Assumptions!$E$58</definedName>
    <definedName name="Fossil_Secur_Date" localSheetId="16">[3]Assumptions!$E$22</definedName>
    <definedName name="Fossil_Secur_Date">[3]Assumptions!$E$22</definedName>
    <definedName name="FRANM">#REF!</definedName>
    <definedName name="FRANT">#REF!</definedName>
    <definedName name="FTHUAFAC">#REF!</definedName>
    <definedName name="FTHUALF">#REF!</definedName>
    <definedName name="FTHUAMW">#REF!</definedName>
    <definedName name="FTHUAMWH">#REF!</definedName>
    <definedName name="Function">#REF!</definedName>
    <definedName name="GenLedger" localSheetId="16">[14]PEPCO!$A$9:$H$774</definedName>
    <definedName name="GenLedger">[14]PEPCO!$A$9:$H$774</definedName>
    <definedName name="gita" localSheetId="16" hidden="1">{#N/A,#N/A,FALSE,"O&amp;M by processes";#N/A,#N/A,FALSE,"Elec Act vs Bud";#N/A,#N/A,FALSE,"G&amp;A";#N/A,#N/A,FALSE,"BGS";#N/A,#N/A,FALSE,"Res Cost"}</definedName>
    <definedName name="gita" localSheetId="24"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6" hidden="1">{#N/A,#N/A,FALSE,"O&amp;M by processes";#N/A,#N/A,FALSE,"Elec Act vs Bud";#N/A,#N/A,FALSE,"G&amp;A";#N/A,#N/A,FALSE,"BGS";#N/A,#N/A,FALSE,"Res Cost"}</definedName>
    <definedName name="gitah" localSheetId="24" hidden="1">{#N/A,#N/A,FALSE,"O&amp;M by processes";#N/A,#N/A,FALSE,"Elec Act vs Bud";#N/A,#N/A,FALSE,"G&amp;A";#N/A,#N/A,FALSE,"BGS";#N/A,#N/A,FALSE,"Res Cost"}</definedName>
    <definedName name="gitah" hidden="1">{#N/A,#N/A,FALSE,"O&amp;M by processes";#N/A,#N/A,FALSE,"Elec Act vs Bud";#N/A,#N/A,FALSE,"G&amp;A";#N/A,#N/A,FALSE,"BGS";#N/A,#N/A,FALSE,"Res Cost"}</definedName>
    <definedName name="GROSS_REVENUE">#REF!</definedName>
    <definedName name="histdate">#REF!</definedName>
    <definedName name="HOME">#REF!</definedName>
    <definedName name="HUGHESFAC">#REF!</definedName>
    <definedName name="HUGHESLF">#REF!</definedName>
    <definedName name="HUGHESMW">#REF!</definedName>
    <definedName name="HUGHESMWH">#REF!</definedName>
    <definedName name="IBMFAC">#REF!</definedName>
    <definedName name="IBMLF">#REF!</definedName>
    <definedName name="IBMMW">#REF!</definedName>
    <definedName name="IBMMWH">#REF!</definedName>
    <definedName name="Inc_Stat">#REF!</definedName>
    <definedName name="Index">#REF!</definedName>
    <definedName name="IndexHeader">#REF!</definedName>
    <definedName name="intang_afudc910" localSheetId="16">[15]criteria!$A$5:$B$6</definedName>
    <definedName name="intang_afudc910">[15]criteria!$A$5:$B$6</definedName>
    <definedName name="INTQ" localSheetId="16">'[16]IR COMP'!$B$39</definedName>
    <definedName name="INTQ">'[16]IR COMP'!$B$39</definedName>
    <definedName name="INTY" localSheetId="16">'[16]IR COMP'!$C$39</definedName>
    <definedName name="INTY">'[16]IR COMP'!$C$39</definedName>
    <definedName name="itc">#REF!</definedName>
    <definedName name="KeyCon_Close_Date" localSheetId="16">[7]Assumptions!$E$29</definedName>
    <definedName name="KeyCon_Close_Date">[7]Assumptions!$E$29</definedName>
    <definedName name="kk">#REF!</definedName>
    <definedName name="KWH">#REF!</definedName>
    <definedName name="l" localSheetId="16">[17]Lists!$A$2:$A$4</definedName>
    <definedName name="l">[17]Lists!$A$2:$A$4</definedName>
    <definedName name="Labor" localSheetId="16">'[18]Labor ratio'!$A$2:$K$14</definedName>
    <definedName name="Labor">'[18]Labor ratio'!$A$2:$K$14</definedName>
    <definedName name="LD_Factor">#REF!</definedName>
    <definedName name="Library" hidden="1">"a1"</definedName>
    <definedName name="limcount" hidden="1">1</definedName>
    <definedName name="LIQAIRFAC">#REF!</definedName>
    <definedName name="LIQAIRLF">#REF!</definedName>
    <definedName name="LIQAIRMW">#REF!</definedName>
    <definedName name="LIQAIRMWH">#REF!</definedName>
    <definedName name="LOAD_FACTOR">#REF!</definedName>
    <definedName name="LOAD_FACTOR_BASED_ON_BILLING_DEMAND">#REF!</definedName>
    <definedName name="Load81">#REF!</definedName>
    <definedName name="Load81Header">#REF!</definedName>
    <definedName name="Load82">#REF!</definedName>
    <definedName name="Load82Header">#REF!</definedName>
    <definedName name="Load83">#REF!</definedName>
    <definedName name="Load83Header">#REF!</definedName>
    <definedName name="Load84">#REF!</definedName>
    <definedName name="Load84Header">#REF!</definedName>
    <definedName name="Load85">#REF!</definedName>
    <definedName name="Load85Header">#REF!</definedName>
    <definedName name="Load86">#REF!</definedName>
    <definedName name="Load86Header">#REF!</definedName>
    <definedName name="Load87">#REF!</definedName>
    <definedName name="LoadHeader">#REF!</definedName>
    <definedName name="LoadHeaderHistoric">#REF!</definedName>
    <definedName name="MACRO1">#REF!</definedName>
    <definedName name="Marty">#REF!</definedName>
    <definedName name="MAY" hidden="1">{#N/A,#N/A,FALSE,"EMPPAY"}</definedName>
    <definedName name="million">1000000</definedName>
    <definedName name="minsys">#REF!</definedName>
    <definedName name="MISS1FAC">#REF!</definedName>
    <definedName name="MISS1LF">#REF!</definedName>
    <definedName name="MISS1MW">#REF!</definedName>
    <definedName name="MISS1MWH">#REF!</definedName>
    <definedName name="MISS2FAC">#REF!</definedName>
    <definedName name="MISS2LF">#REF!</definedName>
    <definedName name="MISS2MW">#REF!</definedName>
    <definedName name="MISS2MWH">#REF!</definedName>
    <definedName name="month" localSheetId="16">[19]RPT80MAR!$A$1:$D$77</definedName>
    <definedName name="month">[19]RPT80MAR!$A$1:$D$77</definedName>
    <definedName name="MONTH12">#REF!</definedName>
    <definedName name="months">[12]Permanent!$A$24:$A$35</definedName>
    <definedName name="MTC_Amortization" localSheetId="16">'[7]JFJ-3 MTC Rate'!$A$32:$F$82</definedName>
    <definedName name="MTC_Amortization">'[7]JFJ-3 MTC Rate'!$A$32:$F$82</definedName>
    <definedName name="NET_REVENUE">#REF!</definedName>
    <definedName name="new" localSheetId="24" hidden="1">{#N/A,#N/A,FALSE,"O&amp;M by processes";#N/A,#N/A,FALSE,"Elec Act vs Bud";#N/A,#N/A,FALSE,"G&amp;A";#N/A,#N/A,FALSE,"BGS";#N/A,#N/A,FALSE,"Res Cost"}</definedName>
    <definedName name="new">#REF!</definedName>
    <definedName name="NI">#REF!</definedName>
    <definedName name="NIWC">#REF!</definedName>
    <definedName name="NIWLP">#REF!</definedName>
    <definedName name="non_cap_int" localSheetId="16">'[6]Input Page'!$E$11</definedName>
    <definedName name="non_cap_int">'[6]Input Page'!$E$11</definedName>
    <definedName name="NSP_COS">#REF!</definedName>
    <definedName name="Nuclear_Secur_Date" localSheetId="16">[3]Assumptions!$E$21</definedName>
    <definedName name="Nuclear_Secur_Date">[3]Assumptions!$E$21</definedName>
    <definedName name="OMCustomer">#REF!</definedName>
    <definedName name="OMFunct">#REF!</definedName>
    <definedName name="one">1</definedName>
    <definedName name="pctHW" localSheetId="16">[10]Input!$M$24</definedName>
    <definedName name="pctHW">[10]Input!$M$24</definedName>
    <definedName name="pctSWExp" localSheetId="16">[10]Input!$M$26</definedName>
    <definedName name="pctSWExp">[10]Input!$M$26</definedName>
    <definedName name="pctTraining" localSheetId="16">[10]Input!$M$25</definedName>
    <definedName name="pctTraining">[10]Input!$M$25</definedName>
    <definedName name="post_fossil" localSheetId="16">[7]Assumptions!$E$59</definedName>
    <definedName name="post_fossil">[7]Assumptions!$E$59</definedName>
    <definedName name="POWER_FACTOR">#REF!</definedName>
    <definedName name="Power51Header">#REF!</definedName>
    <definedName name="Power52">#REF!</definedName>
    <definedName name="Power52Header">#REF!</definedName>
    <definedName name="Power53">#REF!</definedName>
    <definedName name="Power53Header">#REF!</definedName>
    <definedName name="Power54">#REF!</definedName>
    <definedName name="Power54Header">#REF!</definedName>
    <definedName name="Power55">#REF!</definedName>
    <definedName name="Power55Header">#REF!</definedName>
    <definedName name="Power56">#REF!</definedName>
    <definedName name="Power56Header">#REF!</definedName>
    <definedName name="PowerHeader">#REF!</definedName>
    <definedName name="PowerSum">#REF!</definedName>
    <definedName name="PPA" localSheetId="16">[3]Assumptions!$E$38</definedName>
    <definedName name="PPA">[3]Assumptions!$E$38</definedName>
    <definedName name="PreTaxDebt" localSheetId="16">'[7]MTC Return'!$F$18</definedName>
    <definedName name="PreTaxDebt">'[7]MTC Return'!$F$18</definedName>
    <definedName name="Print">#REF!</definedName>
    <definedName name="_xlnm.Print_Area" localSheetId="2">'1 - Revenue Credits'!$A$1:$F$46</definedName>
    <definedName name="_xlnm.Print_Area" localSheetId="16">'10 Lease O&amp;M, Other Tax and 413'!$A$1:$L$56</definedName>
    <definedName name="_xlnm.Print_Area" localSheetId="3">'2 - Cost Support '!$A$1:$F$108</definedName>
    <definedName name="_xlnm.Print_Area" localSheetId="4">'2a - Cost Support'!$A$1:$M$185</definedName>
    <definedName name="_xlnm.Print_Area" localSheetId="6">'3 - Incentives'!$A$1:$J$48</definedName>
    <definedName name="_xlnm.Print_Area" localSheetId="7">'4 - Cap Adds'!$A$1:$K$43</definedName>
    <definedName name="_xlnm.Print_Area" localSheetId="8">'5-Construction Loan'!$A$1:$K$111</definedName>
    <definedName name="_xlnm.Print_Area" localSheetId="9">'6a- ADIT'!$A$1:$H$102</definedName>
    <definedName name="_xlnm.Print_Area" localSheetId="10">'6b- ADIT'!$A$1:$H$102</definedName>
    <definedName name="_xlnm.Print_Area" localSheetId="11">'6c-EDIT'!$A$1:$N$44</definedName>
    <definedName name="_xlnm.Print_Area" localSheetId="12">'6d - Prorated ADIT'!$A$5:$Q$110</definedName>
    <definedName name="_xlnm.Print_Area" localSheetId="13">'7 - True-Up'!$A$1:$L$60</definedName>
    <definedName name="_xlnm.Print_Area" localSheetId="14">'8 - Const Loan True-up'!$A$1:$P$165</definedName>
    <definedName name="_xlnm.Print_Area" localSheetId="15">'9- Depreciation Rates'!$A$1:$F$48</definedName>
    <definedName name="_xlnm.Print_Area" localSheetId="1">'Appendix III'!$A$1:$M$281</definedName>
    <definedName name="_xlnm.Print_Area" localSheetId="21">'WP1 - O&amp;M detail'!$A$1:$L$55</definedName>
    <definedName name="_xlnm.Print_Area">#REF!</definedName>
    <definedName name="_xlnm.Print_Titles" localSheetId="17">'11 - Reg. Assets and Abnd Plnt'!$A:$A</definedName>
    <definedName name="_xlnm.Print_Titles" localSheetId="18">'12 - Unfunded Reserves'!$A:$A</definedName>
    <definedName name="_xlnm.Print_Titles" localSheetId="19">'13 - CWIP'!$A:$A</definedName>
    <definedName name="_xlnm.Print_Titles" localSheetId="20">'14 - Future Use'!$A:$A</definedName>
    <definedName name="_xlnm.Print_Titles" localSheetId="12">'6d - Prorated ADIT'!$1:$3</definedName>
    <definedName name="Print_Titles_MI">'[20]DACTIVE$'!$A$1:$IV$4,'[20]DACTIVE$'!$A$1:$A$65536</definedName>
    <definedName name="Print1">#REF!</definedName>
    <definedName name="Print3">#REF!</definedName>
    <definedName name="Print4">#REF!</definedName>
    <definedName name="Print5">#REF!</definedName>
    <definedName name="PrintArea">#REF!</definedName>
    <definedName name="PrintareaDec">'[21]kWh-Mcf'!$E$97,'[21]kWh-Mcf'!$A$81:$E$118,'[21]kWh-Mcf'!$AM$86:$AO$118</definedName>
    <definedName name="ProjIDList">#REF!</definedName>
    <definedName name="ProposedRate91">#REF!</definedName>
    <definedName name="PSClass">#REF!</definedName>
    <definedName name="PSCo_COS">#REF!</definedName>
    <definedName name="psrate">#REF!</definedName>
    <definedName name="q_MTEP06_App_AB_Facility">#REF!</definedName>
    <definedName name="q_MTEP06_App_AB_Projects">#REF!</definedName>
    <definedName name="qmat">#REF!</definedName>
    <definedName name="QTR">#REF!</definedName>
    <definedName name="qtrinfo">#REF!</definedName>
    <definedName name="query">'[22]Boston Edison'!$A$1:$M$3434</definedName>
    <definedName name="RACC">#REF!</definedName>
    <definedName name="RateClass">#REF!</definedName>
    <definedName name="ratios">#REF!</definedName>
    <definedName name="RBCustomer">#REF!</definedName>
    <definedName name="RCITYM">#REF!</definedName>
    <definedName name="RCITYS">#REF!</definedName>
    <definedName name="RCITYST">#REF!</definedName>
    <definedName name="RCITYT">#REF!</definedName>
    <definedName name="RD">#REF!</definedName>
    <definedName name="Recorded_Year_Hours_per_month">#REF!</definedName>
    <definedName name="ReportTitle1">#REF!</definedName>
    <definedName name="Reserve2011">#REF!</definedName>
    <definedName name="revreq">#REF!</definedName>
    <definedName name="revvar">#REF!</definedName>
    <definedName name="RFRANM">#REF!</definedName>
    <definedName name="RFRANT">#REF!</definedName>
    <definedName name="RowDetails1">#REF!</definedName>
    <definedName name="RRBT">#REF!</definedName>
    <definedName name="rrrr" localSheetId="16" hidden="1">{#N/A,#N/A,FALSE,"O&amp;M by processes";#N/A,#N/A,FALSE,"Elec Act vs Bud";#N/A,#N/A,FALSE,"G&amp;A";#N/A,#N/A,FALSE,"BGS";#N/A,#N/A,FALSE,"Res Cost"}</definedName>
    <definedName name="rrrr" localSheetId="24" hidden="1">{#N/A,#N/A,FALSE,"O&amp;M by processes";#N/A,#N/A,FALSE,"Elec Act vs Bud";#N/A,#N/A,FALSE,"G&amp;A";#N/A,#N/A,FALSE,"BGS";#N/A,#N/A,FALSE,"Res Cost"}</definedName>
    <definedName name="rrrr" hidden="1">{#N/A,#N/A,FALSE,"O&amp;M by processes";#N/A,#N/A,FALSE,"Elec Act vs Bud";#N/A,#N/A,FALSE,"G&amp;A";#N/A,#N/A,FALSE,"BGS";#N/A,#N/A,FALSE,"Res Cost"}</definedName>
    <definedName name="RRUCO">#REF!</definedName>
    <definedName name="RS">#REF!</definedName>
    <definedName name="RSTATE">#REF!</definedName>
    <definedName name="RTFE">#REF!</definedName>
    <definedName name="Seasons">#REF!</definedName>
    <definedName name="shiva" localSheetId="16" hidden="1">{#N/A,#N/A,FALSE,"O&amp;M by processes";#N/A,#N/A,FALSE,"Elec Act vs Bud";#N/A,#N/A,FALSE,"G&amp;A";#N/A,#N/A,FALSE,"BGS";#N/A,#N/A,FALSE,"Res Cost"}</definedName>
    <definedName name="shiva" localSheetId="24" hidden="1">{#N/A,#N/A,FALSE,"O&amp;M by processes";#N/A,#N/A,FALSE,"Elec Act vs Bud";#N/A,#N/A,FALSE,"G&amp;A";#N/A,#N/A,FALSE,"BGS";#N/A,#N/A,FALSE,"Res Cost"}</definedName>
    <definedName name="shiva" hidden="1">{#N/A,#N/A,FALSE,"O&amp;M by processes";#N/A,#N/A,FALSE,"Elec Act vs Bud";#N/A,#N/A,FALSE,"G&amp;A";#N/A,#N/A,FALSE,"BGS";#N/A,#N/A,FALSE,"Res Cost"}</definedName>
    <definedName name="SILVERFAC">#REF!</definedName>
    <definedName name="SILVERLF">#REF!</definedName>
    <definedName name="SILVERMW">#REF!</definedName>
    <definedName name="SILVERMWH">#REF!</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PS_COS">#REF!</definedName>
    <definedName name="stat">#REF!</definedName>
    <definedName name="State" localSheetId="16">'[23]State List'!$A$2:$A$53</definedName>
    <definedName name="State">'[23]State List'!$A$2:$A$53</definedName>
    <definedName name="statsrevised" localSheetId="16" hidden="1">{#N/A,#N/A,FALSE,"O&amp;M by processes";#N/A,#N/A,FALSE,"Elec Act vs Bud";#N/A,#N/A,FALSE,"G&amp;A";#N/A,#N/A,FALSE,"BGS";#N/A,#N/A,FALSE,"Res Cost"}</definedName>
    <definedName name="statsrevised" localSheetId="24" hidden="1">{#N/A,#N/A,FALSE,"O&amp;M by processes";#N/A,#N/A,FALSE,"Elec Act vs Bud";#N/A,#N/A,FALSE,"G&amp;A";#N/A,#N/A,FALSE,"BGS";#N/A,#N/A,FALSE,"Res Cost"}</definedName>
    <definedName name="statsrevised" hidden="1">{#N/A,#N/A,FALSE,"O&amp;M by processes";#N/A,#N/A,FALSE,"Elec Act vs Bud";#N/A,#N/A,FALSE,"G&amp;A";#N/A,#N/A,FALSE,"BGS";#N/A,#N/A,FALSE,"Res Cost"}</definedName>
    <definedName name="step1">#REF!</definedName>
    <definedName name="step2">#REF!</definedName>
    <definedName name="STILL1040" localSheetId="16">'[24]Addt''l 1040 Exclusions'!$A$5:$U$44</definedName>
    <definedName name="STILL1040">'[24]Addt''l 1040 Exclusions'!$A$5:$U$44</definedName>
    <definedName name="SumForecast">#REF!</definedName>
    <definedName name="SumHistoric">#REF!</definedName>
    <definedName name="SumPower">#REF!</definedName>
    <definedName name="SumPresRate">#REF!</definedName>
    <definedName name="SumPropRate">#REF!</definedName>
    <definedName name="SumRateBase">#REF!</definedName>
    <definedName name="SumRevClass">#REF!</definedName>
    <definedName name="SumRevPresRate">#REF!</definedName>
    <definedName name="SumRevPropRate">#REF!</definedName>
    <definedName name="SumRevRate">#REF!</definedName>
    <definedName name="SumRevReq">#REF!</definedName>
    <definedName name="support" localSheetId="16" hidden="1">{#N/A,#N/A,FALSE,"O&amp;M by processes";#N/A,#N/A,FALSE,"Elec Act vs Bud";#N/A,#N/A,FALSE,"G&amp;A";#N/A,#N/A,FALSE,"BGS";#N/A,#N/A,FALSE,"Res Cost"}</definedName>
    <definedName name="support" localSheetId="24"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6" hidden="1">{#N/A,#N/A,FALSE,"O&amp;M by processes";#N/A,#N/A,FALSE,"Elec Act vs Bud";#N/A,#N/A,FALSE,"G&amp;A";#N/A,#N/A,FALSE,"BGS";#N/A,#N/A,FALSE,"Res Cost"}</definedName>
    <definedName name="supporti" localSheetId="24"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6">'[7]Keystone Swap Amort Sched'!$A$1:$F$241</definedName>
    <definedName name="Swap_Amort">'[7]Keystone Swap Amort Sched'!$A$1:$F$241</definedName>
    <definedName name="TableName">"Dummy"</definedName>
    <definedName name="TableOfContents">#REF!</definedName>
    <definedName name="Tacx_Factor" localSheetId="16">[7]Assumptions!$E$52</definedName>
    <definedName name="Tacx_Factor">[7]Assumptions!$E$52</definedName>
    <definedName name="tax_base_on_inc" localSheetId="16">'[6]Input Page'!$E$10</definedName>
    <definedName name="tax_base_on_inc">'[6]Input Page'!$E$10</definedName>
    <definedName name="tax_basis" localSheetId="16">'[6]Input Page'!$E$13</definedName>
    <definedName name="tax_basis">'[6]Input Page'!$E$13</definedName>
    <definedName name="taxcalc">#REF!</definedName>
    <definedName name="TAXES">#REF!</definedName>
    <definedName name="TBLHeader">#REF!</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stcust">#REF!</definedName>
    <definedName name="testdate">#REF!</definedName>
    <definedName name="testkwh">#REF!</definedName>
    <definedName name="TextRefCopyRangeCount" hidden="1">1</definedName>
    <definedName name="thousand">1000</definedName>
    <definedName name="Time" hidden="1">"b1"</definedName>
    <definedName name="TMCFAC">#REF!</definedName>
    <definedName name="TMCLF">#REF!</definedName>
    <definedName name="TMCMW">#REF!</definedName>
    <definedName name="TMCMWH">#REF!</definedName>
    <definedName name="toma" localSheetId="16" hidden="1">{#N/A,#N/A,FALSE,"O&amp;M by processes";#N/A,#N/A,FALSE,"Elec Act vs Bud";#N/A,#N/A,FALSE,"G&amp;A";#N/A,#N/A,FALSE,"BGS";#N/A,#N/A,FALSE,"Res Cost"}</definedName>
    <definedName name="toma" localSheetId="24"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6" hidden="1">{#N/A,#N/A,FALSE,"O&amp;M by processes";#N/A,#N/A,FALSE,"Elec Act vs Bud";#N/A,#N/A,FALSE,"G&amp;A";#N/A,#N/A,FALSE,"BGS";#N/A,#N/A,FALSE,"Res Cost"}</definedName>
    <definedName name="tomb" localSheetId="24"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6" hidden="1">{#N/A,#N/A,FALSE,"O&amp;M by processes";#N/A,#N/A,FALSE,"Elec Act vs Bud";#N/A,#N/A,FALSE,"G&amp;A";#N/A,#N/A,FALSE,"BGS";#N/A,#N/A,FALSE,"Res Cost"}</definedName>
    <definedName name="tomc" localSheetId="24"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6" hidden="1">{#N/A,#N/A,FALSE,"O&amp;M by processes";#N/A,#N/A,FALSE,"Elec Act vs Bud";#N/A,#N/A,FALSE,"G&amp;A";#N/A,#N/A,FALSE,"BGS";#N/A,#N/A,FALSE,"Res Cost"}</definedName>
    <definedName name="tomd" localSheetId="24"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6" hidden="1">{#N/A,#N/A,FALSE,"O&amp;M by processes";#N/A,#N/A,FALSE,"Elec Act vs Bud";#N/A,#N/A,FALSE,"G&amp;A";#N/A,#N/A,FALSE,"BGS";#N/A,#N/A,FALSE,"Res Cost"}</definedName>
    <definedName name="tomx" localSheetId="24"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6" hidden="1">{#N/A,#N/A,FALSE,"O&amp;M by processes";#N/A,#N/A,FALSE,"Elec Act vs Bud";#N/A,#N/A,FALSE,"G&amp;A";#N/A,#N/A,FALSE,"BGS";#N/A,#N/A,FALSE,"Res Cost"}</definedName>
    <definedName name="tomy" localSheetId="24"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6" hidden="1">{#N/A,#N/A,FALSE,"O&amp;M by processes";#N/A,#N/A,FALSE,"Elec Act vs Bud";#N/A,#N/A,FALSE,"G&amp;A";#N/A,#N/A,FALSE,"BGS";#N/A,#N/A,FALSE,"Res Cost"}</definedName>
    <definedName name="tomz" localSheetId="24"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6">'[6]Input Page'!$E$8</definedName>
    <definedName name="tot_ded">'[6]Input Page'!$E$8</definedName>
    <definedName name="Tota_Deferred">#REF!</definedName>
    <definedName name="TrackerCust">#REF!</definedName>
    <definedName name="TrackerPrice">#REF!</definedName>
    <definedName name="TU">#REF!</definedName>
    <definedName name="Typist" hidden="1">"b1"</definedName>
    <definedName name="UACHRPFAC">#REF!</definedName>
    <definedName name="UACHRPLF">#REF!</definedName>
    <definedName name="UACHRPMW">#REF!</definedName>
    <definedName name="UACHRPMWH">#REF!</definedName>
    <definedName name="UAMAINFAC">#REF!</definedName>
    <definedName name="UAMAINLF">#REF!</definedName>
    <definedName name="UAMAINMW">#REF!</definedName>
    <definedName name="UAMAINMWH">#REF!</definedName>
    <definedName name="UAMEDFAC">#REF!</definedName>
    <definedName name="UAMEDLF">#REF!</definedName>
    <definedName name="UAMEDMW">#REF!</definedName>
    <definedName name="UAMEDMWH">#REF!</definedName>
    <definedName name="Unbundle_Rate_Base">#REF!</definedName>
    <definedName name="Unbundle_Rev_Req">#REF!</definedName>
    <definedName name="Unbundling_Unit_Cost">#REF!</definedName>
    <definedName name="Unbundling_Unit_Title">#REF!</definedName>
    <definedName name="unitcost">#REF!</definedName>
    <definedName name="UnitCost21">#REF!</definedName>
    <definedName name="UnitCost22">#REF!</definedName>
    <definedName name="UP">#REF!</definedName>
    <definedName name="utility">#REF!</definedName>
    <definedName name="utility2">#REF!</definedName>
    <definedName name="utilstt">#REF!</definedName>
    <definedName name="valDate">[9]Inputs!$B$1</definedName>
    <definedName name="Value" hidden="1">{"assumptions",#N/A,FALSE,"Scenario 1";"valuation",#N/A,FALSE,"Scenario 1"}</definedName>
    <definedName name="Version" hidden="1">"a1"</definedName>
    <definedName name="w">#REF!</definedName>
    <definedName name="WCCGCR2">[25]Rates!$B$96:$C$190</definedName>
    <definedName name="wh" localSheetId="16" hidden="1">{#N/A,#N/A,FALSE,"O&amp;M by processes";#N/A,#N/A,FALSE,"Elec Act vs Bud";#N/A,#N/A,FALSE,"G&amp;A";#N/A,#N/A,FALSE,"BGS";#N/A,#N/A,FALSE,"Res Cost"}</definedName>
    <definedName name="wh" localSheetId="24"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6" hidden="1">{#N/A,#N/A,FALSE,"O&amp;M by processes";#N/A,#N/A,FALSE,"Elec Act vs Bud";#N/A,#N/A,FALSE,"G&amp;A";#N/A,#N/A,FALSE,"BGS";#N/A,#N/A,FALSE,"Res Cost"}</definedName>
    <definedName name="what" localSheetId="24" hidden="1">{#N/A,#N/A,FALSE,"O&amp;M by processes";#N/A,#N/A,FALSE,"Elec Act vs Bud";#N/A,#N/A,FALSE,"G&amp;A";#N/A,#N/A,FALSE,"BGS";#N/A,#N/A,FALSE,"Res Cost"}</definedName>
    <definedName name="what" hidden="1">{#N/A,#N/A,FALSE,"O&amp;M by processes";#N/A,#N/A,FALSE,"Elec Act vs Bud";#N/A,#N/A,FALSE,"G&amp;A";#N/A,#N/A,FALSE,"BGS";#N/A,#N/A,FALSE,"Res Cost"}</definedName>
    <definedName name="whatever">#REF!</definedName>
    <definedName name="Whatwhat" localSheetId="16" hidden="1">{#N/A,#N/A,FALSE,"O&amp;M by processes";#N/A,#N/A,FALSE,"Elec Act vs Bud";#N/A,#N/A,FALSE,"G&amp;A";#N/A,#N/A,FALSE,"BGS";#N/A,#N/A,FALSE,"Res Cost"}</definedName>
    <definedName name="Whatwhat" localSheetId="24"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6" hidden="1">{#N/A,#N/A,FALSE,"O&amp;M by processes";#N/A,#N/A,FALSE,"Elec Act vs Bud";#N/A,#N/A,FALSE,"G&amp;A";#N/A,#N/A,FALSE,"BGS";#N/A,#N/A,FALSE,"Res Cost"}</definedName>
    <definedName name="who" localSheetId="24"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6" hidden="1">{#N/A,#N/A,FALSE,"O&amp;M by processes";#N/A,#N/A,FALSE,"Elec Act vs Bud";#N/A,#N/A,FALSE,"G&amp;A";#N/A,#N/A,FALSE,"BGS";#N/A,#N/A,FALSE,"Res Cost"}</definedName>
    <definedName name="whowho" localSheetId="24"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6" hidden="1">{#N/A,#N/A,FALSE,"O&amp;M by processes";#N/A,#N/A,FALSE,"Elec Act vs Bud";#N/A,#N/A,FALSE,"G&amp;A";#N/A,#N/A,FALSE,"BGS";#N/A,#N/A,FALSE,"Res Cost"}</definedName>
    <definedName name="whwh" localSheetId="24"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6" hidden="1">{#N/A,#N/A,FALSE,"O&amp;M by processes";#N/A,#N/A,FALSE,"Elec Act vs Bud";#N/A,#N/A,FALSE,"G&amp;A";#N/A,#N/A,FALSE,"BGS";#N/A,#N/A,FALSE,"Res Cost"}</definedName>
    <definedName name="why" localSheetId="24"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6">'[26]WO Info'!$A$1:$F$17972</definedName>
    <definedName name="WO_Description">'[26]WO Info'!$A$1:$F$17972</definedName>
    <definedName name="wrn" localSheetId="16" hidden="1">{#N/A,#N/A,FALSE,"O&amp;M by processes";#N/A,#N/A,FALSE,"Elec Act vs Bud";#N/A,#N/A,FALSE,"G&amp;A";#N/A,#N/A,FALSE,"BGS";#N/A,#N/A,FALSE,"Res Cost"}</definedName>
    <definedName name="wrn" localSheetId="24"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6" hidden="1">{#N/A,#N/A,FALSE,"CURRENT"}</definedName>
    <definedName name="wrn.722." localSheetId="24" hidden="1">{#N/A,#N/A,FALSE,"CURRENT"}</definedName>
    <definedName name="wrn.722." hidden="1">{#N/A,#N/A,FALSE,"CURRENT"}</definedName>
    <definedName name="wrn.AGT." localSheetId="16" hidden="1">{"AGT",#N/A,FALSE,"Revenue"}</definedName>
    <definedName name="wrn.AGT." localSheetId="24" hidden="1">{"AGT",#N/A,FALSE,"Revenue"}</definedName>
    <definedName name="wrn.AGT." hidden="1">{"AGT",#N/A,FALSE,"Revenue"}</definedName>
    <definedName name="wrn.ARREC." hidden="1">{#N/A,#N/A,FALSE,"ARREC"}</definedName>
    <definedName name="wrn.August._.1._.2003._.Rate._.Change." localSheetId="16"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4"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6" hidden="1">{#N/A,#N/A,FALSE,"O&amp;M by processes";#N/A,#N/A,FALSE,"Elec Act vs Bud";#N/A,#N/A,FALSE,"G&amp;A";#N/A,#N/A,FALSE,"BGS";#N/A,#N/A,FALSE,"Res Cost"}</definedName>
    <definedName name="wrn.Basic." localSheetId="24"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6" hidden="1">{#N/A,#N/A,FALSE,"Elec Deliv";#N/A,#N/A,FALSE,"Atlantic Pie";#N/A,#N/A,FALSE,"Bay Pie";#N/A,#N/A,FALSE,"New Castle Pie";#N/A,#N/A,FALSE,"Transmission Pie"}</definedName>
    <definedName name="wrn.ChartSet." localSheetId="24"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Data._.dump." localSheetId="16" hidden="1">{"Input Data",#N/A,FALSE,"Input";"Income and Cash Flow",#N/A,FALSE,"Calculations"}</definedName>
    <definedName name="wrn.Data._.dump." localSheetId="24" hidden="1">{"Input Data",#N/A,FALSE,"Input";"Income and Cash Flow",#N/A,FALSE,"Calculations"}</definedName>
    <definedName name="wrn.Data._.dump." hidden="1">{"Input Data",#N/A,FALSE,"Input";"Income and Cash Flow",#N/A,FALSE,"Calculations"}</definedName>
    <definedName name="wrn.Deferral._.Forecast." localSheetId="16" hidden="1">{"Summary Deferral Forecast",#N/A,FALSE,"Deferral Forecast";"BGS Deferral Forecast",#N/A,FALSE,"BGS Deferral";"NNC Deferral Forecast",#N/A,FALSE,"NNC Deferral";"MTCDeferralForecast",#N/A,FALSE,"MTC Deferral";"SBC Deferral Forecast",#N/A,FALSE,"SBC Deferral"}</definedName>
    <definedName name="wrn.Deferral._.Forecast." localSheetId="24"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hidden="1">{#N/A,#N/A,FALSE,"EMPPAY"}</definedName>
    <definedName name="wrn.Filing." localSheetId="16"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4"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6" hidden="1">{"Print Empty Template",#N/A,FALSE,"Input"}</definedName>
    <definedName name="wrn.For._.filling._.out._.assessments." localSheetId="24" hidden="1">{"Print Empty Template",#N/A,FALSE,"Input"}</definedName>
    <definedName name="wrn.For._.filling._.out._.assessments." hidden="1">{"Print Empty Template",#N/A,FALSE,"Input"}</definedName>
    <definedName name="wrn.HLP._.Detail." localSheetId="16" hidden="1">{"2002 - 2006 Detail Income Statement",#N/A,FALSE,"TUB Income Statement wo DW";"BGS Deferral",#N/A,FALSE,"BGS Deferral";"NNC Deferral",#N/A,FALSE,"NNC Deferral";"MTC Deferral",#N/A,FALSE,"MTC Deferral";#N/A,#N/A,FALSE,"Schedule D"}</definedName>
    <definedName name="wrn.HLP._.Detail." localSheetId="24"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Report." localSheetId="16" hidden="1">{#N/A,#N/A,FALSE,"Work performed";#N/A,#N/A,FALSE,"Resources"}</definedName>
    <definedName name="wrn.Report." localSheetId="24" hidden="1">{#N/A,#N/A,FALSE,"Work performed";#N/A,#N/A,FALSE,"Resources"}</definedName>
    <definedName name="wrn.Report." hidden="1">{#N/A,#N/A,FALSE,"Work performed";#N/A,#N/A,FALSE,"Resources"}</definedName>
    <definedName name="wrn.Revenue._.Analysis." localSheetId="16"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4"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6" hidden="1">{#N/A,#N/A,FALSE,"Work performed";#N/A,#N/A,FALSE,"Resources"}</definedName>
    <definedName name="wrn.Supporting._.Calculations." localSheetId="24" hidden="1">{#N/A,#N/A,FALSE,"Work performed";#N/A,#N/A,FALSE,"Resources"}</definedName>
    <definedName name="wrn.Supporting._.Calculations." hidden="1">{#N/A,#N/A,FALSE,"Work performed";#N/A,#N/A,FALSE,"Resources"}</definedName>
    <definedName name="wrn.Tax._.Accrual." localSheetId="16" hidden="1">{#N/A,#N/A,TRUE,"TAXPROV";#N/A,#N/A,TRUE,"FLOWTHRU";#N/A,#N/A,TRUE,"SCHEDULE M'S";#N/A,#N/A,TRUE,"PLANT M'S";#N/A,#N/A,TRUE,"TAXJE"}</definedName>
    <definedName name="wrn.Tax._.Accrual." localSheetId="24" hidden="1">{#N/A,#N/A,TRUE,"TAXPROV";#N/A,#N/A,TRUE,"FLOWTHRU";#N/A,#N/A,TRUE,"SCHEDULE M'S";#N/A,#N/A,TRUE,"PLANT M'S";#N/A,#N/A,TRUE,"TAXJE"}</definedName>
    <definedName name="wrn.Tax._.Accrual." hidden="1">{#N/A,#N/A,TRUE,"TAXPROV";#N/A,#N/A,TRUE,"FLOWTHRU";#N/A,#N/A,TRUE,"SCHEDULE M'S";#N/A,#N/A,TRUE,"PLANT M'S";#N/A,#N/A,TRUE,"TAXJE"}</definedName>
    <definedName name="Xcel_COS">#REF!</definedName>
    <definedName name="xx" hidden="1">{#N/A,#N/A,FALSE,"EMPPAY"}</definedName>
    <definedName name="xxx" localSheetId="16" hidden="1">{#N/A,#N/A,FALSE,"O&amp;M by processes";#N/A,#N/A,FALSE,"Elec Act vs Bud";#N/A,#N/A,FALSE,"G&amp;A";#N/A,#N/A,FALSE,"BGS";#N/A,#N/A,FALSE,"Res Cost"}</definedName>
    <definedName name="xxx" localSheetId="24"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6" hidden="1">{#N/A,#N/A,FALSE,"O&amp;M by processes";#N/A,#N/A,FALSE,"Elec Act vs Bud";#N/A,#N/A,FALSE,"G&amp;A";#N/A,#N/A,FALSE,"BGS";#N/A,#N/A,FALSE,"Res Cost"}</definedName>
    <definedName name="xxxx" localSheetId="24"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6">[27]INPUTS!$C$17</definedName>
    <definedName name="YEAR1">[27]INPUTS!$C$17</definedName>
    <definedName name="yeartodate" localSheetId="16">[19]RPT80MAR!$A$84:$D$158</definedName>
    <definedName name="yeartodate">[19]RPT80MAR!$A$84:$D$158</definedName>
    <definedName name="YTD">#REF!</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31" l="1"/>
  <c r="A14" i="31"/>
  <c r="G12" i="44" l="1"/>
  <c r="G11" i="44"/>
  <c r="E11" i="44"/>
  <c r="G10" i="44"/>
  <c r="R8" i="45"/>
  <c r="S8" i="45" s="1"/>
  <c r="T8" i="45" s="1"/>
  <c r="U8" i="45" s="1"/>
  <c r="V8" i="45" s="1"/>
  <c r="W8" i="45" s="1"/>
  <c r="X8" i="45" s="1"/>
  <c r="Y8" i="45" s="1"/>
  <c r="Z8" i="45" s="1"/>
  <c r="AA8" i="45" s="1"/>
  <c r="AB8" i="45" s="1"/>
  <c r="AC8" i="45" s="1"/>
  <c r="R7" i="45"/>
  <c r="S7" i="45" s="1"/>
  <c r="T7" i="45" s="1"/>
  <c r="U7" i="45" s="1"/>
  <c r="V7" i="45" s="1"/>
  <c r="W7" i="45" s="1"/>
  <c r="X7" i="45" s="1"/>
  <c r="Y7" i="45" s="1"/>
  <c r="Z7" i="45" s="1"/>
  <c r="AA7" i="45" s="1"/>
  <c r="AB7" i="45" s="1"/>
  <c r="AC7" i="45" s="1"/>
  <c r="M32" i="49" l="1"/>
  <c r="M31" i="49"/>
  <c r="L21" i="49"/>
  <c r="L14" i="49"/>
  <c r="L13" i="49"/>
  <c r="Q93" i="50"/>
  <c r="Q90" i="50"/>
  <c r="Q62" i="50"/>
  <c r="Q59" i="50"/>
  <c r="Q28" i="50"/>
  <c r="A1" i="49" l="1"/>
  <c r="H7" i="49" l="1"/>
  <c r="E38" i="49"/>
  <c r="F38" i="49"/>
  <c r="G38" i="49"/>
  <c r="L35" i="49"/>
  <c r="M25" i="49"/>
  <c r="M18" i="49"/>
  <c r="I33" i="49"/>
  <c r="I32" i="49"/>
  <c r="I31" i="49"/>
  <c r="M35" i="49" s="1"/>
  <c r="M38" i="49" s="1"/>
  <c r="I21" i="49"/>
  <c r="L25" i="49" s="1"/>
  <c r="I14" i="49"/>
  <c r="L18" i="49" s="1"/>
  <c r="I13" i="49"/>
  <c r="L38" i="49" l="1"/>
  <c r="C26" i="23" l="1"/>
  <c r="D154" i="3" l="1"/>
  <c r="J95" i="50"/>
  <c r="A77" i="50"/>
  <c r="A78" i="50" s="1"/>
  <c r="A79" i="50" s="1"/>
  <c r="A80" i="50" s="1"/>
  <c r="A81" i="50" s="1"/>
  <c r="A82" i="50" s="1"/>
  <c r="A83" i="50" s="1"/>
  <c r="A84" i="50" s="1"/>
  <c r="A85" i="50" s="1"/>
  <c r="A86" i="50" s="1"/>
  <c r="A87" i="50" s="1"/>
  <c r="A88" i="50" s="1"/>
  <c r="A76" i="50"/>
  <c r="A73" i="50"/>
  <c r="A71" i="50"/>
  <c r="C56" i="50"/>
  <c r="C87" i="50" s="1"/>
  <c r="D86" i="50" s="1"/>
  <c r="C55" i="50"/>
  <c r="C86" i="50" s="1"/>
  <c r="C54" i="50"/>
  <c r="C85" i="50" s="1"/>
  <c r="C53" i="50"/>
  <c r="C84" i="50" s="1"/>
  <c r="C52" i="50"/>
  <c r="C83" i="50" s="1"/>
  <c r="C51" i="50"/>
  <c r="C82" i="50" s="1"/>
  <c r="C50" i="50"/>
  <c r="C81" i="50" s="1"/>
  <c r="C49" i="50"/>
  <c r="C80" i="50" s="1"/>
  <c r="C48" i="50"/>
  <c r="C79" i="50" s="1"/>
  <c r="C47" i="50"/>
  <c r="C78" i="50" s="1"/>
  <c r="C46" i="50"/>
  <c r="C77" i="50" s="1"/>
  <c r="E45" i="50"/>
  <c r="E46" i="50" s="1"/>
  <c r="E47" i="50" s="1"/>
  <c r="E48" i="50" s="1"/>
  <c r="E49" i="50" s="1"/>
  <c r="E50" i="50" s="1"/>
  <c r="E51" i="50" s="1"/>
  <c r="E52" i="50" s="1"/>
  <c r="E53" i="50" s="1"/>
  <c r="E54" i="50" s="1"/>
  <c r="E55" i="50" s="1"/>
  <c r="E56" i="50" s="1"/>
  <c r="F56" i="50" s="1"/>
  <c r="C45" i="50"/>
  <c r="A45" i="50"/>
  <c r="A46" i="50" s="1"/>
  <c r="A47" i="50" s="1"/>
  <c r="A48" i="50" s="1"/>
  <c r="A49" i="50" s="1"/>
  <c r="A50" i="50" s="1"/>
  <c r="A51" i="50" s="1"/>
  <c r="A52" i="50" s="1"/>
  <c r="A53" i="50" s="1"/>
  <c r="A54" i="50" s="1"/>
  <c r="A55" i="50" s="1"/>
  <c r="A56" i="50" s="1"/>
  <c r="A57" i="50" s="1"/>
  <c r="A39" i="50"/>
  <c r="A40" i="50" s="1"/>
  <c r="A42" i="50" s="1"/>
  <c r="J33" i="50"/>
  <c r="J30" i="50"/>
  <c r="C26" i="50"/>
  <c r="D24" i="50"/>
  <c r="D23" i="50" s="1"/>
  <c r="D22" i="50" s="1"/>
  <c r="A22" i="50"/>
  <c r="A23" i="50" s="1"/>
  <c r="A24" i="50" s="1"/>
  <c r="A25" i="50" s="1"/>
  <c r="A26" i="50" s="1"/>
  <c r="E14" i="50"/>
  <c r="E15" i="50" s="1"/>
  <c r="E16" i="50" s="1"/>
  <c r="E17" i="50" s="1"/>
  <c r="E18" i="50" s="1"/>
  <c r="E19" i="50" s="1"/>
  <c r="E20" i="50" s="1"/>
  <c r="E21" i="50" s="1"/>
  <c r="E22" i="50" s="1"/>
  <c r="E23" i="50" s="1"/>
  <c r="A14" i="50"/>
  <c r="A15" i="50" s="1"/>
  <c r="A16" i="50" s="1"/>
  <c r="A17" i="50" s="1"/>
  <c r="A18" i="50" s="1"/>
  <c r="A19" i="50" s="1"/>
  <c r="A20" i="50" s="1"/>
  <c r="A21" i="50" s="1"/>
  <c r="A9" i="50"/>
  <c r="A11" i="50" s="1"/>
  <c r="A3" i="50"/>
  <c r="A1" i="50"/>
  <c r="A3" i="49"/>
  <c r="H35" i="49"/>
  <c r="G35" i="49"/>
  <c r="I35" i="49"/>
  <c r="Q63" i="50" s="1"/>
  <c r="Q64" i="50" s="1"/>
  <c r="H25" i="49"/>
  <c r="D25" i="49"/>
  <c r="I25" i="49"/>
  <c r="Q94" i="50" s="1"/>
  <c r="D18" i="49"/>
  <c r="Q29" i="50" s="1"/>
  <c r="Q30" i="50" s="1"/>
  <c r="L13" i="50" s="1"/>
  <c r="Q13" i="50" s="1"/>
  <c r="A17" i="49"/>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16" i="49"/>
  <c r="A15" i="49"/>
  <c r="G18" i="49"/>
  <c r="C57" i="50" l="1"/>
  <c r="H76" i="50"/>
  <c r="H77" i="50" s="1"/>
  <c r="H13" i="50"/>
  <c r="H14" i="50"/>
  <c r="Q91" i="50"/>
  <c r="J91" i="50" s="1"/>
  <c r="J92" i="50" s="1"/>
  <c r="H75" i="50" s="1"/>
  <c r="J75" i="50" s="1"/>
  <c r="G25" i="49"/>
  <c r="E149" i="3" s="1"/>
  <c r="D85" i="50"/>
  <c r="E24" i="50"/>
  <c r="E25" i="50" s="1"/>
  <c r="F25" i="50" s="1"/>
  <c r="F23" i="50"/>
  <c r="J64" i="50"/>
  <c r="J61" i="50"/>
  <c r="H44" i="50" s="1"/>
  <c r="D21" i="50"/>
  <c r="F22" i="50"/>
  <c r="C76" i="50"/>
  <c r="D55" i="50"/>
  <c r="J13" i="50"/>
  <c r="D35" i="49"/>
  <c r="Q60" i="50" s="1"/>
  <c r="Q61" i="50" s="1"/>
  <c r="L44" i="50" s="1"/>
  <c r="Q44" i="50" s="1"/>
  <c r="I18" i="49"/>
  <c r="H18" i="49"/>
  <c r="H38" i="49" s="1"/>
  <c r="F24" i="50" l="1"/>
  <c r="L45" i="50"/>
  <c r="H15" i="50"/>
  <c r="H16" i="50" s="1"/>
  <c r="H17" i="50" s="1"/>
  <c r="H18" i="50" s="1"/>
  <c r="H19" i="50" s="1"/>
  <c r="H20" i="50" s="1"/>
  <c r="H21" i="50" s="1"/>
  <c r="H22" i="50" s="1"/>
  <c r="D38" i="49"/>
  <c r="I38" i="49"/>
  <c r="Q32" i="50"/>
  <c r="F55" i="50"/>
  <c r="D54" i="50"/>
  <c r="D20" i="50"/>
  <c r="F21" i="50"/>
  <c r="E76" i="50"/>
  <c r="E77" i="50" s="1"/>
  <c r="E78" i="50" s="1"/>
  <c r="E79" i="50" s="1"/>
  <c r="E80" i="50" s="1"/>
  <c r="E81" i="50" s="1"/>
  <c r="E82" i="50" s="1"/>
  <c r="E83" i="50" s="1"/>
  <c r="E84" i="50" s="1"/>
  <c r="E85" i="50" s="1"/>
  <c r="E86" i="50" s="1"/>
  <c r="C88" i="50"/>
  <c r="H78" i="50"/>
  <c r="D84" i="50"/>
  <c r="J44" i="50"/>
  <c r="H45" i="50"/>
  <c r="L46" i="50"/>
  <c r="M45" i="50" l="1"/>
  <c r="I21" i="50"/>
  <c r="H23" i="50"/>
  <c r="I22" i="50"/>
  <c r="F20" i="50"/>
  <c r="I20" i="50" s="1"/>
  <c r="D19" i="50"/>
  <c r="L47" i="50"/>
  <c r="F85" i="50"/>
  <c r="F84" i="50"/>
  <c r="D83" i="50"/>
  <c r="E87" i="50"/>
  <c r="F87" i="50" s="1"/>
  <c r="F86" i="50"/>
  <c r="O45" i="50"/>
  <c r="H46" i="50"/>
  <c r="M46" i="50" s="1"/>
  <c r="P45" i="50"/>
  <c r="F54" i="50"/>
  <c r="D53" i="50"/>
  <c r="H79" i="50"/>
  <c r="H24" i="50" l="1"/>
  <c r="I23" i="50"/>
  <c r="F83" i="50"/>
  <c r="D82" i="50"/>
  <c r="D18" i="50"/>
  <c r="F19" i="50"/>
  <c r="I19" i="50" s="1"/>
  <c r="H47" i="50"/>
  <c r="M47" i="50" s="1"/>
  <c r="O46" i="50"/>
  <c r="P46" i="50"/>
  <c r="L48" i="50"/>
  <c r="H80" i="50"/>
  <c r="F53" i="50"/>
  <c r="D52" i="50"/>
  <c r="H25" i="50" l="1"/>
  <c r="I24" i="50"/>
  <c r="H81" i="50"/>
  <c r="F18" i="50"/>
  <c r="I18" i="50" s="1"/>
  <c r="D17" i="50"/>
  <c r="F82" i="50"/>
  <c r="D81" i="50"/>
  <c r="L49" i="50"/>
  <c r="F52" i="50"/>
  <c r="D51" i="50"/>
  <c r="P47" i="50"/>
  <c r="H48" i="50"/>
  <c r="O47" i="50"/>
  <c r="I25" i="50" l="1"/>
  <c r="H26" i="50"/>
  <c r="F81" i="50"/>
  <c r="D80" i="50"/>
  <c r="I81" i="50"/>
  <c r="H82" i="50"/>
  <c r="L50" i="50"/>
  <c r="P48" i="50"/>
  <c r="H49" i="50"/>
  <c r="M49" i="50" s="1"/>
  <c r="F51" i="50"/>
  <c r="D50" i="50"/>
  <c r="M48" i="50"/>
  <c r="O48" i="50" s="1"/>
  <c r="D16" i="50"/>
  <c r="F17" i="50"/>
  <c r="I17" i="50" s="1"/>
  <c r="I82" i="50" l="1"/>
  <c r="H83" i="50"/>
  <c r="H50" i="50"/>
  <c r="M50" i="50" s="1"/>
  <c r="P49" i="50"/>
  <c r="O49" i="50"/>
  <c r="F80" i="50"/>
  <c r="I80" i="50" s="1"/>
  <c r="D79" i="50"/>
  <c r="D15" i="50"/>
  <c r="F16" i="50"/>
  <c r="I16" i="50" s="1"/>
  <c r="L51" i="50"/>
  <c r="F50" i="50"/>
  <c r="D49" i="50"/>
  <c r="F79" i="50" l="1"/>
  <c r="I79" i="50" s="1"/>
  <c r="D78" i="50"/>
  <c r="H84" i="50"/>
  <c r="I83" i="50"/>
  <c r="L52" i="50"/>
  <c r="F49" i="50"/>
  <c r="I49" i="50" s="1"/>
  <c r="D48" i="50"/>
  <c r="D14" i="50"/>
  <c r="F14" i="50" s="1"/>
  <c r="I14" i="50" s="1"/>
  <c r="F15" i="50"/>
  <c r="I15" i="50" s="1"/>
  <c r="H51" i="50"/>
  <c r="M51" i="50" s="1"/>
  <c r="O50" i="50"/>
  <c r="I50" i="50"/>
  <c r="N50" i="50" s="1"/>
  <c r="P50" i="50"/>
  <c r="I26" i="50" l="1"/>
  <c r="J14" i="50"/>
  <c r="J15" i="50" s="1"/>
  <c r="J16" i="50" s="1"/>
  <c r="J17" i="50" s="1"/>
  <c r="J18" i="50" s="1"/>
  <c r="J19" i="50" s="1"/>
  <c r="J20" i="50" s="1"/>
  <c r="J21" i="50" s="1"/>
  <c r="J22" i="50" s="1"/>
  <c r="J23" i="50" s="1"/>
  <c r="J24" i="50" s="1"/>
  <c r="J25" i="50" s="1"/>
  <c r="J36" i="50" s="1"/>
  <c r="H85" i="50"/>
  <c r="I84" i="50"/>
  <c r="L53" i="50"/>
  <c r="F48" i="50"/>
  <c r="I48" i="50" s="1"/>
  <c r="D47" i="50"/>
  <c r="F78" i="50"/>
  <c r="I78" i="50" s="1"/>
  <c r="D77" i="50"/>
  <c r="N49" i="50"/>
  <c r="P51" i="50"/>
  <c r="H52" i="50"/>
  <c r="M52" i="50" s="1"/>
  <c r="O51" i="50"/>
  <c r="I51" i="50"/>
  <c r="L54" i="50" l="1"/>
  <c r="N48" i="50"/>
  <c r="N51" i="50"/>
  <c r="F77" i="50"/>
  <c r="I77" i="50" s="1"/>
  <c r="D76" i="50"/>
  <c r="F76" i="50" s="1"/>
  <c r="I76" i="50" s="1"/>
  <c r="I52" i="50"/>
  <c r="N52" i="50" s="1"/>
  <c r="P52" i="50"/>
  <c r="H53" i="50"/>
  <c r="O52" i="50"/>
  <c r="I85" i="50"/>
  <c r="H86" i="50"/>
  <c r="F47" i="50"/>
  <c r="I47" i="50" s="1"/>
  <c r="D46" i="50"/>
  <c r="L55" i="50" l="1"/>
  <c r="I53" i="50"/>
  <c r="P53" i="50"/>
  <c r="H54" i="50"/>
  <c r="M53" i="50"/>
  <c r="F46" i="50"/>
  <c r="I46" i="50" s="1"/>
  <c r="D45" i="50"/>
  <c r="F45" i="50" s="1"/>
  <c r="I45" i="50" s="1"/>
  <c r="N47" i="50"/>
  <c r="I86" i="50"/>
  <c r="H87" i="50"/>
  <c r="H88" i="50" s="1"/>
  <c r="J76" i="50"/>
  <c r="J77" i="50" s="1"/>
  <c r="J78" i="50" s="1"/>
  <c r="J79" i="50" s="1"/>
  <c r="J80" i="50" s="1"/>
  <c r="J81" i="50" s="1"/>
  <c r="J82" i="50" s="1"/>
  <c r="J83" i="50" s="1"/>
  <c r="J84" i="50" s="1"/>
  <c r="J85" i="50" s="1"/>
  <c r="N53" i="50" l="1"/>
  <c r="H55" i="50"/>
  <c r="M55" i="50" s="1"/>
  <c r="I54" i="50"/>
  <c r="P54" i="50"/>
  <c r="O53" i="50"/>
  <c r="L56" i="50"/>
  <c r="L57" i="50" s="1"/>
  <c r="M54" i="50"/>
  <c r="O54" i="50" s="1"/>
  <c r="J45" i="50"/>
  <c r="J46" i="50" s="1"/>
  <c r="J47" i="50" s="1"/>
  <c r="J48" i="50" s="1"/>
  <c r="J49" i="50" s="1"/>
  <c r="J50" i="50" s="1"/>
  <c r="J51" i="50" s="1"/>
  <c r="J52" i="50" s="1"/>
  <c r="J53" i="50" s="1"/>
  <c r="N45" i="50"/>
  <c r="N46" i="50"/>
  <c r="I87" i="50"/>
  <c r="J86" i="50"/>
  <c r="N54" i="50" l="1"/>
  <c r="Q45" i="50"/>
  <c r="Q46" i="50" s="1"/>
  <c r="Q47" i="50" s="1"/>
  <c r="Q48" i="50" s="1"/>
  <c r="Q49" i="50" s="1"/>
  <c r="Q50" i="50" s="1"/>
  <c r="Q51" i="50" s="1"/>
  <c r="Q52" i="50" s="1"/>
  <c r="Q53" i="50" s="1"/>
  <c r="J54" i="50"/>
  <c r="J87" i="50"/>
  <c r="J98" i="50" s="1"/>
  <c r="I88" i="50"/>
  <c r="P55" i="50"/>
  <c r="O55" i="50"/>
  <c r="H56" i="50"/>
  <c r="H57" i="50" s="1"/>
  <c r="I55" i="50"/>
  <c r="N55" i="50" s="1"/>
  <c r="Q54" i="50" l="1"/>
  <c r="Q55" i="50" s="1"/>
  <c r="I56" i="50"/>
  <c r="I57" i="50" s="1"/>
  <c r="P56" i="50"/>
  <c r="P57" i="50" s="1"/>
  <c r="M56" i="50"/>
  <c r="M57" i="50" s="1"/>
  <c r="J55" i="50"/>
  <c r="N56" i="50" l="1"/>
  <c r="N57" i="50" s="1"/>
  <c r="O56" i="50"/>
  <c r="O57" i="50" s="1"/>
  <c r="J56" i="50"/>
  <c r="J67" i="50" s="1"/>
  <c r="J100" i="50" s="1"/>
  <c r="Q56" i="50" l="1"/>
  <c r="Q67" i="50" s="1"/>
  <c r="G14" i="17"/>
  <c r="E9" i="17"/>
  <c r="B9" i="17"/>
  <c r="I46" i="32" l="1"/>
  <c r="H204" i="3" s="1"/>
  <c r="H46" i="32" l="1"/>
  <c r="F9" i="29" l="1"/>
  <c r="E166" i="29" l="1"/>
  <c r="D43" i="32" l="1"/>
  <c r="C21" i="17" l="1"/>
  <c r="C22" i="17" s="1"/>
  <c r="C23" i="17" s="1"/>
  <c r="C24" i="17" s="1"/>
  <c r="C25" i="17" s="1"/>
  <c r="C26" i="17" s="1"/>
  <c r="C27" i="17" s="1"/>
  <c r="C28" i="17" s="1"/>
  <c r="C29" i="17" s="1"/>
  <c r="C30" i="17" s="1"/>
  <c r="C31" i="17" s="1"/>
  <c r="H121"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U24" i="47"/>
  <c r="Y24" i="47" s="1"/>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c r="P16" i="45" s="1"/>
  <c r="AH15" i="45"/>
  <c r="AD15" i="45"/>
  <c r="H15" i="45"/>
  <c r="L15" i="45" s="1"/>
  <c r="P15" i="45" s="1"/>
  <c r="AH14" i="45"/>
  <c r="AD14" i="45"/>
  <c r="H14" i="45"/>
  <c r="L14" i="45" s="1"/>
  <c r="P14" i="45" s="1"/>
  <c r="AH13" i="45"/>
  <c r="AD13" i="45"/>
  <c r="AJ13" i="45" s="1"/>
  <c r="H13" i="45"/>
  <c r="L13" i="45"/>
  <c r="P13" i="45" s="1"/>
  <c r="AH12" i="45"/>
  <c r="AD12" i="45"/>
  <c r="H12" i="45"/>
  <c r="L12" i="45" s="1"/>
  <c r="P12" i="45" s="1"/>
  <c r="AH11" i="45"/>
  <c r="AJ11" i="45" s="1"/>
  <c r="AD11" i="45"/>
  <c r="H11" i="45"/>
  <c r="L11" i="45" s="1"/>
  <c r="P11" i="45" s="1"/>
  <c r="AH10" i="45"/>
  <c r="AD10" i="45"/>
  <c r="H10" i="45"/>
  <c r="L10" i="45" s="1"/>
  <c r="P10" i="45" s="1"/>
  <c r="AH9" i="45"/>
  <c r="AD9" i="45"/>
  <c r="H9" i="45"/>
  <c r="L9" i="45" s="1"/>
  <c r="P9" i="45" s="1"/>
  <c r="AH8" i="45"/>
  <c r="H8" i="45"/>
  <c r="AH7" i="45"/>
  <c r="H7" i="45"/>
  <c r="AJ9"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6" i="3" s="1"/>
  <c r="F52" i="9"/>
  <c r="F36" i="9"/>
  <c r="E61" i="3" s="1"/>
  <c r="D54" i="40"/>
  <c r="D36" i="40"/>
  <c r="D43" i="40" s="1"/>
  <c r="C45" i="40" s="1"/>
  <c r="E18" i="40"/>
  <c r="C35" i="40"/>
  <c r="E13" i="40" s="1"/>
  <c r="E11" i="40"/>
  <c r="E12" i="40" s="1"/>
  <c r="D50" i="40" s="1"/>
  <c r="E10" i="40"/>
  <c r="E19" i="40" s="1"/>
  <c r="A10" i="22"/>
  <c r="A11" i="22" s="1"/>
  <c r="A12" i="22" s="1"/>
  <c r="A13" i="22" s="1"/>
  <c r="A14" i="22" s="1"/>
  <c r="A15" i="22" s="1"/>
  <c r="A16" i="22" s="1"/>
  <c r="A17" i="22" s="1"/>
  <c r="A18" i="22" s="1"/>
  <c r="A19" i="22" s="1"/>
  <c r="A20" i="22" s="1"/>
  <c r="A21" i="22"/>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20" i="31"/>
  <c r="A21" i="31" s="1"/>
  <c r="A22" i="31" s="1"/>
  <c r="A23" i="31" s="1"/>
  <c r="C20" i="40"/>
  <c r="C63" i="40"/>
  <c r="G18" i="44"/>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I10"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30" i="40" s="1"/>
  <c r="F29" i="40"/>
  <c r="D30" i="40"/>
  <c r="E30" i="40"/>
  <c r="E9" i="40" s="1"/>
  <c r="E43" i="40"/>
  <c r="F43" i="40"/>
  <c r="C46" i="40" s="1"/>
  <c r="B50" i="40"/>
  <c r="B51" i="40"/>
  <c r="F61" i="40"/>
  <c r="F62" i="40"/>
  <c r="F63" i="40"/>
  <c r="F64" i="40"/>
  <c r="F65" i="40"/>
  <c r="P41" i="38"/>
  <c r="H205" i="3" s="1"/>
  <c r="G13" i="25" s="1"/>
  <c r="P34" i="38"/>
  <c r="P23" i="38"/>
  <c r="O23" i="38"/>
  <c r="N23" i="38"/>
  <c r="M23" i="38"/>
  <c r="L23" i="38"/>
  <c r="K23" i="38"/>
  <c r="J23" i="38"/>
  <c r="I23" i="38"/>
  <c r="H23" i="38"/>
  <c r="G23" i="38"/>
  <c r="F23" i="38"/>
  <c r="E23" i="38"/>
  <c r="D23" i="38"/>
  <c r="B23" i="38"/>
  <c r="Q22" i="38"/>
  <c r="Q21" i="38"/>
  <c r="Q20" i="38"/>
  <c r="Q19" i="38"/>
  <c r="Q17" i="38"/>
  <c r="E205" i="3" s="1"/>
  <c r="D13" i="25" s="1"/>
  <c r="P15" i="38"/>
  <c r="O15" i="38"/>
  <c r="N15" i="38"/>
  <c r="M15" i="38"/>
  <c r="L15" i="38"/>
  <c r="K15" i="38"/>
  <c r="J15" i="38"/>
  <c r="I15" i="38"/>
  <c r="H15" i="38"/>
  <c r="G15" i="38"/>
  <c r="F15" i="38"/>
  <c r="E15" i="38"/>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E54" i="32"/>
  <c r="C46" i="32"/>
  <c r="A44" i="32"/>
  <c r="A45" i="32"/>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E43" i="32"/>
  <c r="F43" i="32" s="1"/>
  <c r="A18" i="32"/>
  <c r="A19" i="32" s="1"/>
  <c r="A20" i="32" s="1"/>
  <c r="A21" i="32" s="1"/>
  <c r="A22" i="32" s="1"/>
  <c r="A23" i="32" s="1"/>
  <c r="A26" i="32" s="1"/>
  <c r="A27" i="32" s="1"/>
  <c r="A28" i="32" s="1"/>
  <c r="A29" i="32" s="1"/>
  <c r="A30" i="32" s="1"/>
  <c r="A31" i="32" s="1"/>
  <c r="A32" i="32" s="1"/>
  <c r="A34" i="32" s="1"/>
  <c r="A36" i="32" s="1"/>
  <c r="A37" i="32" s="1"/>
  <c r="A38" i="32" s="1"/>
  <c r="F34" i="32"/>
  <c r="H58" i="32" s="1"/>
  <c r="F56" i="32"/>
  <c r="F28" i="5"/>
  <c r="F32" i="5" s="1"/>
  <c r="E28" i="5"/>
  <c r="E32" i="5" s="1"/>
  <c r="D28" i="5"/>
  <c r="D32" i="5" s="1"/>
  <c r="C25" i="5"/>
  <c r="C26" i="5"/>
  <c r="C27" i="5"/>
  <c r="C30" i="5"/>
  <c r="C31" i="5"/>
  <c r="A13" i="31"/>
  <c r="D14" i="3"/>
  <c r="D15" i="3" s="1"/>
  <c r="D16" i="3" s="1"/>
  <c r="D17" i="3" s="1"/>
  <c r="D23" i="3"/>
  <c r="B8" i="31"/>
  <c r="B9" i="31" s="1"/>
  <c r="B10" i="31" s="1"/>
  <c r="B11" i="31" s="1"/>
  <c r="B17" i="31"/>
  <c r="B18"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s="1"/>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s="1"/>
  <c r="E93" i="22"/>
  <c r="E96" i="22" s="1"/>
  <c r="D10" i="22" s="1"/>
  <c r="E36" i="22"/>
  <c r="E39" i="22" s="1"/>
  <c r="D11" i="22" s="1"/>
  <c r="Q31" i="50" s="1"/>
  <c r="Q33" i="50" s="1"/>
  <c r="L14" i="50" s="1"/>
  <c r="F64" i="23"/>
  <c r="F93" i="23"/>
  <c r="F36" i="23"/>
  <c r="F39" i="23" s="1"/>
  <c r="E11" i="23" s="1"/>
  <c r="F64" i="22"/>
  <c r="F67" i="22" s="1"/>
  <c r="E9" i="22" s="1"/>
  <c r="F93" i="22"/>
  <c r="F96" i="22" s="1"/>
  <c r="E10" i="22" s="1"/>
  <c r="Q95" i="50" s="1"/>
  <c r="F36" i="22"/>
  <c r="F39" i="22" s="1"/>
  <c r="E11" i="22" s="1"/>
  <c r="G64" i="23"/>
  <c r="G67" i="23" s="1"/>
  <c r="F9" i="23" s="1"/>
  <c r="G93" i="23"/>
  <c r="G96" i="23" s="1"/>
  <c r="F10" i="23" s="1"/>
  <c r="G36" i="23"/>
  <c r="G39" i="23" s="1"/>
  <c r="F11" i="23" s="1"/>
  <c r="E200" i="3"/>
  <c r="J200" i="3" s="1"/>
  <c r="F13" i="22" s="1"/>
  <c r="G64" i="22"/>
  <c r="G67" i="22"/>
  <c r="F9" i="22" s="1"/>
  <c r="G93" i="22"/>
  <c r="G96" i="22"/>
  <c r="F10" i="22" s="1"/>
  <c r="G36" i="22"/>
  <c r="G39" i="22" s="1"/>
  <c r="F11" i="22" s="1"/>
  <c r="F20" i="9"/>
  <c r="E60" i="3" s="1"/>
  <c r="F73" i="9"/>
  <c r="G5" i="29"/>
  <c r="E76" i="3" s="1"/>
  <c r="H30" i="29"/>
  <c r="H31" i="29"/>
  <c r="H59" i="29"/>
  <c r="H60" i="29"/>
  <c r="H64" i="29"/>
  <c r="H79" i="3"/>
  <c r="H78" i="3" s="1"/>
  <c r="E140" i="29"/>
  <c r="F140" i="29"/>
  <c r="F142" i="29" s="1"/>
  <c r="F143" i="29" s="1"/>
  <c r="G140" i="29"/>
  <c r="G142" i="29" s="1"/>
  <c r="G143" i="29" s="1"/>
  <c r="G7" i="29"/>
  <c r="E80" i="3" s="1"/>
  <c r="J80" i="3" s="1"/>
  <c r="H214" i="3" s="1"/>
  <c r="I53" i="29"/>
  <c r="E83" i="3" s="1"/>
  <c r="E122" i="3"/>
  <c r="E168" i="29"/>
  <c r="E170" i="29" s="1"/>
  <c r="E156" i="29"/>
  <c r="E158" i="29" s="1"/>
  <c r="E160" i="29" s="1"/>
  <c r="E176" i="29"/>
  <c r="E178" i="29" s="1"/>
  <c r="E180" i="29" s="1"/>
  <c r="I89" i="29"/>
  <c r="H119" i="29"/>
  <c r="H120" i="29"/>
  <c r="H121" i="29"/>
  <c r="H122" i="29"/>
  <c r="H123" i="29"/>
  <c r="H124" i="29"/>
  <c r="H125" i="29"/>
  <c r="H126" i="29"/>
  <c r="H127" i="29"/>
  <c r="H128" i="29"/>
  <c r="H129" i="29"/>
  <c r="H130" i="29"/>
  <c r="H131" i="29"/>
  <c r="F26" i="29"/>
  <c r="E88" i="3" s="1"/>
  <c r="E12" i="25"/>
  <c r="E14" i="25"/>
  <c r="G14" i="25"/>
  <c r="L98" i="29"/>
  <c r="E257" i="3"/>
  <c r="E143" i="3" s="1"/>
  <c r="H143" i="3" s="1"/>
  <c r="D24" i="25"/>
  <c r="J206" i="3"/>
  <c r="I29" i="27"/>
  <c r="I28" i="27"/>
  <c r="I27" i="27"/>
  <c r="I26" i="27"/>
  <c r="I25" i="27"/>
  <c r="E129" i="3"/>
  <c r="J138" i="3"/>
  <c r="A37" i="3"/>
  <c r="A38" i="3" s="1"/>
  <c r="B22" i="25"/>
  <c r="J190" i="3"/>
  <c r="C190"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E19" i="9"/>
  <c r="E18" i="9"/>
  <c r="E17" i="9"/>
  <c r="E16" i="9"/>
  <c r="E15" i="9"/>
  <c r="E14" i="9"/>
  <c r="E13" i="9"/>
  <c r="E12" i="9"/>
  <c r="E11" i="9"/>
  <c r="E10" i="9"/>
  <c r="E9" i="9"/>
  <c r="C183" i="29"/>
  <c r="G107" i="29"/>
  <c r="I104" i="29"/>
  <c r="E121" i="3" s="1"/>
  <c r="J121" i="3" s="1"/>
  <c r="E65" i="29"/>
  <c r="I51" i="29"/>
  <c r="C51" i="29"/>
  <c r="A49" i="29" s="1"/>
  <c r="C216" i="3"/>
  <c r="A3" i="27"/>
  <c r="C37" i="3"/>
  <c r="D122" i="3"/>
  <c r="D121" i="3"/>
  <c r="A9" i="25"/>
  <c r="A12" i="25" s="1"/>
  <c r="A13" i="25" s="1"/>
  <c r="A14" i="25" s="1"/>
  <c r="A15" i="25" s="1"/>
  <c r="D93" i="23"/>
  <c r="D96" i="23" s="1"/>
  <c r="C93" i="23"/>
  <c r="C96" i="23" s="1"/>
  <c r="D64" i="23"/>
  <c r="D67" i="23" s="1"/>
  <c r="C64" i="23"/>
  <c r="C67" i="23" s="1"/>
  <c r="D36" i="23"/>
  <c r="D39" i="23" s="1"/>
  <c r="C36" i="23"/>
  <c r="C39" i="23" s="1"/>
  <c r="B1" i="23"/>
  <c r="B47" i="23" s="1"/>
  <c r="B75" i="23" s="1"/>
  <c r="B1" i="22"/>
  <c r="B47" i="22" s="1"/>
  <c r="B75" i="22" s="1"/>
  <c r="D93" i="22"/>
  <c r="D96" i="22" s="1"/>
  <c r="D64" i="22"/>
  <c r="D67" i="22" s="1"/>
  <c r="C64" i="22"/>
  <c r="C67" i="22" s="1"/>
  <c r="D36" i="22"/>
  <c r="D39" i="22" s="1"/>
  <c r="C36" i="22"/>
  <c r="C39" i="22" s="1"/>
  <c r="B34" i="5"/>
  <c r="C45" i="5"/>
  <c r="D6" i="5" s="1"/>
  <c r="C202" i="3"/>
  <c r="A2" i="9"/>
  <c r="A2" i="5"/>
  <c r="F4" i="25" s="1"/>
  <c r="M52" i="3"/>
  <c r="M110" i="3" s="1"/>
  <c r="M183" i="3" s="1"/>
  <c r="M226" i="3" s="1"/>
  <c r="G118" i="3"/>
  <c r="G119" i="3" s="1"/>
  <c r="G123" i="3" s="1"/>
  <c r="E53" i="3"/>
  <c r="E111"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c r="A15" i="5" s="1"/>
  <c r="D37" i="3" s="1"/>
  <c r="G37" i="3"/>
  <c r="G65" i="3"/>
  <c r="G83" i="3" s="1"/>
  <c r="G87" i="3" s="1"/>
  <c r="G66" i="3"/>
  <c r="C74" i="3"/>
  <c r="A2" i="29" s="1"/>
  <c r="G79" i="3"/>
  <c r="G78" i="3"/>
  <c r="C85" i="3"/>
  <c r="C87" i="3"/>
  <c r="C88" i="3"/>
  <c r="C127" i="3"/>
  <c r="C132" i="3"/>
  <c r="G135" i="3"/>
  <c r="G139" i="3"/>
  <c r="E140" i="3"/>
  <c r="D142" i="3"/>
  <c r="C146" i="3"/>
  <c r="E184" i="3"/>
  <c r="C191" i="3"/>
  <c r="E227" i="3"/>
  <c r="C238" i="3"/>
  <c r="C93" i="22"/>
  <c r="C96" i="22" s="1"/>
  <c r="F96" i="23"/>
  <c r="E10" i="23" s="1"/>
  <c r="Q92" i="50" s="1"/>
  <c r="F67" i="23"/>
  <c r="E9" i="23" s="1"/>
  <c r="C28" i="5"/>
  <c r="E65" i="3"/>
  <c r="H32" i="29"/>
  <c r="H33" i="29"/>
  <c r="H34" i="29"/>
  <c r="H35" i="29"/>
  <c r="H36" i="29"/>
  <c r="H37" i="29"/>
  <c r="H38" i="29"/>
  <c r="H39" i="29"/>
  <c r="H40" i="29"/>
  <c r="H41" i="29"/>
  <c r="H42" i="29"/>
  <c r="G43" i="29"/>
  <c r="E77" i="3" s="1"/>
  <c r="J77" i="3" s="1"/>
  <c r="H213" i="3" s="1"/>
  <c r="C43" i="40"/>
  <c r="C44" i="40" s="1"/>
  <c r="E22" i="40"/>
  <c r="M14" i="50" l="1"/>
  <c r="O14" i="50" s="1"/>
  <c r="L15" i="50"/>
  <c r="P14" i="50"/>
  <c r="N14" i="50"/>
  <c r="L75" i="50"/>
  <c r="Q75" i="50" s="1"/>
  <c r="L76" i="50"/>
  <c r="J25" i="38"/>
  <c r="C32" i="5"/>
  <c r="C34" i="5" s="1"/>
  <c r="E25" i="38"/>
  <c r="G25" i="38"/>
  <c r="K25" i="38"/>
  <c r="O25" i="38"/>
  <c r="P25" i="38"/>
  <c r="C47" i="40"/>
  <c r="D25" i="38"/>
  <c r="AJ10" i="45"/>
  <c r="AJ15" i="45"/>
  <c r="F12" i="22"/>
  <c r="F15" i="22" s="1"/>
  <c r="I25" i="38"/>
  <c r="M25" i="38"/>
  <c r="E71" i="3"/>
  <c r="AJ14" i="45"/>
  <c r="Y32" i="47"/>
  <c r="L8" i="45"/>
  <c r="P8" i="45" s="1"/>
  <c r="H22" i="27" s="1"/>
  <c r="G122" i="3"/>
  <c r="H25" i="38"/>
  <c r="E67" i="3"/>
  <c r="I14" i="25"/>
  <c r="F107" i="9"/>
  <c r="AJ12" i="45"/>
  <c r="F32" i="30"/>
  <c r="F33" i="30" s="1"/>
  <c r="F73" i="32"/>
  <c r="I74" i="32" s="1"/>
  <c r="F63" i="32"/>
  <c r="Q23" i="38"/>
  <c r="E206" i="3" s="1"/>
  <c r="D14" i="25" s="1"/>
  <c r="AJ16" i="45"/>
  <c r="E17" i="48"/>
  <c r="E12" i="22"/>
  <c r="H65" i="29"/>
  <c r="E78" i="3" s="1"/>
  <c r="L25" i="38"/>
  <c r="F25" i="38"/>
  <c r="N25" i="38"/>
  <c r="D52" i="40"/>
  <c r="D55" i="40" s="1"/>
  <c r="D13" i="5" s="1"/>
  <c r="D15" i="5" s="1"/>
  <c r="E37" i="3" s="1"/>
  <c r="F54" i="9"/>
  <c r="H120" i="3"/>
  <c r="C15" i="5"/>
  <c r="A16" i="25"/>
  <c r="A18" i="25" s="1"/>
  <c r="A19" i="25" s="1"/>
  <c r="B21" i="25"/>
  <c r="J189" i="3"/>
  <c r="E70" i="3"/>
  <c r="E62" i="3"/>
  <c r="D12" i="23"/>
  <c r="D15" i="23" s="1"/>
  <c r="A20" i="9"/>
  <c r="D20" i="9"/>
  <c r="E147" i="3"/>
  <c r="D19" i="25"/>
  <c r="D23" i="25" s="1"/>
  <c r="D27" i="25" s="1"/>
  <c r="H43" i="29"/>
  <c r="G75" i="3"/>
  <c r="E12" i="23"/>
  <c r="A40" i="3"/>
  <c r="A60" i="3" s="1"/>
  <c r="D40" i="3"/>
  <c r="J78"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61" i="3"/>
  <c r="J61" i="3" s="1"/>
  <c r="H66" i="3"/>
  <c r="J66" i="3" s="1"/>
  <c r="F13" i="23"/>
  <c r="H128" i="3"/>
  <c r="J128" i="3" s="1"/>
  <c r="H135" i="3"/>
  <c r="J135" i="3" s="1"/>
  <c r="H134" i="3"/>
  <c r="J134" i="3" s="1"/>
  <c r="J129" i="3"/>
  <c r="E130" i="3"/>
  <c r="H133" i="29"/>
  <c r="E87" i="3" s="1"/>
  <c r="F12" i="23"/>
  <c r="D12" i="22"/>
  <c r="D15" i="22" s="1"/>
  <c r="F70" i="32"/>
  <c r="I71" i="32" s="1"/>
  <c r="Q15" i="38"/>
  <c r="M54" i="43"/>
  <c r="E142" i="29"/>
  <c r="E143" i="29" s="1"/>
  <c r="H143" i="29" s="1"/>
  <c r="E79" i="3" s="1"/>
  <c r="J79" i="3" s="1"/>
  <c r="I25" i="42"/>
  <c r="E120" i="3" s="1"/>
  <c r="I63" i="41"/>
  <c r="I46" i="42"/>
  <c r="G26" i="43"/>
  <c r="W10" i="46"/>
  <c r="W32" i="46" s="1"/>
  <c r="Q32" i="46"/>
  <c r="L7" i="45"/>
  <c r="E183" i="29"/>
  <c r="E123" i="3" s="1"/>
  <c r="G38" i="17"/>
  <c r="G39" i="17" s="1"/>
  <c r="G40" i="17" s="1"/>
  <c r="G41" i="17" s="1"/>
  <c r="G42" i="17" s="1"/>
  <c r="G43" i="17" s="1"/>
  <c r="G44" i="17" s="1"/>
  <c r="G45" i="17" s="1"/>
  <c r="G46" i="17" s="1"/>
  <c r="G47" i="17" s="1"/>
  <c r="G48" i="17" s="1"/>
  <c r="G49" i="17" s="1"/>
  <c r="G35" i="17"/>
  <c r="G43" i="32"/>
  <c r="H43" i="32" s="1"/>
  <c r="I43" i="32" s="1"/>
  <c r="G59" i="32"/>
  <c r="J59" i="32" s="1"/>
  <c r="J6" i="27"/>
  <c r="H140" i="29"/>
  <c r="L128" i="30"/>
  <c r="P128" i="30" s="1"/>
  <c r="F129" i="30"/>
  <c r="F130" i="30" s="1"/>
  <c r="L130" i="30" s="1"/>
  <c r="P130" i="30" s="1"/>
  <c r="N164" i="30"/>
  <c r="F82" i="30"/>
  <c r="F83" i="30" s="1"/>
  <c r="L33" i="30"/>
  <c r="P33" i="30" s="1"/>
  <c r="F34" i="30"/>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I64" i="32"/>
  <c r="G64" i="32"/>
  <c r="F61" i="32"/>
  <c r="F71" i="32"/>
  <c r="F60" i="32"/>
  <c r="F67" i="32"/>
  <c r="F68" i="32"/>
  <c r="F66" i="32"/>
  <c r="F62" i="32"/>
  <c r="I63" i="32" s="1"/>
  <c r="F69" i="32"/>
  <c r="F74" i="32"/>
  <c r="E152" i="3" l="1"/>
  <c r="E153" i="3"/>
  <c r="P15" i="50"/>
  <c r="M15" i="50"/>
  <c r="O15" i="50" s="1"/>
  <c r="L16" i="50"/>
  <c r="Q14" i="50"/>
  <c r="P76" i="50"/>
  <c r="M76" i="50"/>
  <c r="N76" i="50" s="1"/>
  <c r="L77" i="50"/>
  <c r="J120" i="3"/>
  <c r="E72" i="3"/>
  <c r="F15" i="23"/>
  <c r="L129" i="30"/>
  <c r="P129" i="30" s="1"/>
  <c r="P7" i="45"/>
  <c r="E33" i="41"/>
  <c r="G63" i="32"/>
  <c r="J63" i="32" s="1"/>
  <c r="F131" i="30"/>
  <c r="G12" i="25"/>
  <c r="I12" i="25" s="1"/>
  <c r="J204" i="3"/>
  <c r="A22" i="9"/>
  <c r="A23" i="9" s="1"/>
  <c r="J192" i="3"/>
  <c r="J194" i="3"/>
  <c r="C189" i="3"/>
  <c r="A61" i="3"/>
  <c r="P36" i="38"/>
  <c r="Q25" i="38"/>
  <c r="E204" i="3"/>
  <c r="J71"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5" i="3"/>
  <c r="F84" i="30"/>
  <c r="L83" i="30"/>
  <c r="P83" i="30" s="1"/>
  <c r="L82" i="30"/>
  <c r="P82" i="30" s="1"/>
  <c r="F132" i="30"/>
  <c r="L131" i="30"/>
  <c r="P131"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N15" i="50" l="1"/>
  <c r="Q15" i="50" s="1"/>
  <c r="P16" i="50"/>
  <c r="L17" i="50"/>
  <c r="M16" i="50"/>
  <c r="O16" i="50" s="1"/>
  <c r="N16" i="50"/>
  <c r="O76" i="50"/>
  <c r="Q76" i="50" s="1"/>
  <c r="P77" i="50"/>
  <c r="L78" i="50"/>
  <c r="M77" i="50"/>
  <c r="O77" i="50" s="1"/>
  <c r="I9" i="41"/>
  <c r="I33" i="41" s="1"/>
  <c r="E118" i="3" s="1"/>
  <c r="E124" i="3" s="1"/>
  <c r="E86" i="3" s="1"/>
  <c r="E89" i="3" s="1"/>
  <c r="P17" i="45"/>
  <c r="H21" i="27"/>
  <c r="H30" i="27" s="1"/>
  <c r="AD8" i="45"/>
  <c r="AD7" i="45"/>
  <c r="D12" i="25"/>
  <c r="D15" i="25" s="1"/>
  <c r="E207" i="3"/>
  <c r="F205" i="3" s="1"/>
  <c r="A62" i="3"/>
  <c r="A64" i="3" s="1"/>
  <c r="A65" i="3" s="1"/>
  <c r="B26" i="25"/>
  <c r="A21" i="25"/>
  <c r="A22" i="25" s="1"/>
  <c r="A23" i="25" s="1"/>
  <c r="A24" i="9"/>
  <c r="A25" i="9" s="1"/>
  <c r="A26" i="9" s="1"/>
  <c r="A27" i="9" s="1"/>
  <c r="A28" i="9" s="1"/>
  <c r="A29" i="9" s="1"/>
  <c r="A30" i="9" s="1"/>
  <c r="A31" i="9" s="1"/>
  <c r="A32" i="9" s="1"/>
  <c r="A33" i="9" s="1"/>
  <c r="A34" i="9" s="1"/>
  <c r="A35" i="9" s="1"/>
  <c r="A36" i="9" s="1"/>
  <c r="F198" i="3"/>
  <c r="H198" i="3" s="1"/>
  <c r="H200" i="3" s="1"/>
  <c r="H60" i="3"/>
  <c r="H83" i="3"/>
  <c r="H65" i="3"/>
  <c r="J65" i="3" s="1"/>
  <c r="J67" i="3" s="1"/>
  <c r="H118" i="3"/>
  <c r="H127" i="3"/>
  <c r="J127" i="3" s="1"/>
  <c r="J130" i="3" s="1"/>
  <c r="C62" i="3"/>
  <c r="J68" i="32"/>
  <c r="J72" i="32"/>
  <c r="F85" i="30"/>
  <c r="L84" i="30"/>
  <c r="P84" i="30" s="1"/>
  <c r="L35" i="30"/>
  <c r="P35" i="30" s="1"/>
  <c r="F36" i="30"/>
  <c r="L132" i="30"/>
  <c r="F133" i="30"/>
  <c r="J61" i="32"/>
  <c r="J62" i="32"/>
  <c r="J67" i="32"/>
  <c r="J70" i="32"/>
  <c r="J69" i="32"/>
  <c r="Q16" i="50" l="1"/>
  <c r="M17" i="50"/>
  <c r="O17" i="50" s="1"/>
  <c r="P17" i="50"/>
  <c r="L18" i="50"/>
  <c r="N77" i="50"/>
  <c r="Q77" i="50" s="1"/>
  <c r="P78" i="50"/>
  <c r="M78" i="50"/>
  <c r="O78" i="50" s="1"/>
  <c r="L79" i="50"/>
  <c r="J118" i="3"/>
  <c r="AJ7" i="45"/>
  <c r="G21" i="27"/>
  <c r="AJ8" i="45"/>
  <c r="G22" i="27"/>
  <c r="AJ17" i="45"/>
  <c r="D36" i="9"/>
  <c r="A24" i="25"/>
  <c r="A25" i="25" s="1"/>
  <c r="A26" i="25" s="1"/>
  <c r="J83" i="3"/>
  <c r="H75" i="3"/>
  <c r="H87" i="3"/>
  <c r="J87" i="3" s="1"/>
  <c r="A38" i="9"/>
  <c r="A39" i="9" s="1"/>
  <c r="J205" i="3"/>
  <c r="J207" i="3" s="1"/>
  <c r="E144" i="3" s="1"/>
  <c r="E13" i="25"/>
  <c r="I13" i="25" s="1"/>
  <c r="I15" i="25" s="1"/>
  <c r="D20" i="25" s="1"/>
  <c r="A66" i="3"/>
  <c r="C67" i="3" s="1"/>
  <c r="D70" i="3"/>
  <c r="J60" i="3"/>
  <c r="H37" i="3"/>
  <c r="J37" i="3" s="1"/>
  <c r="H122" i="3"/>
  <c r="J122" i="3" s="1"/>
  <c r="H119" i="3"/>
  <c r="J119" i="3" s="1"/>
  <c r="H123" i="3"/>
  <c r="J123" i="3" s="1"/>
  <c r="F17" i="32"/>
  <c r="L85" i="30"/>
  <c r="P85" i="30" s="1"/>
  <c r="F86" i="30"/>
  <c r="F134" i="30"/>
  <c r="L133" i="30"/>
  <c r="P133" i="30" s="1"/>
  <c r="F37" i="30"/>
  <c r="L36" i="30"/>
  <c r="P132" i="30"/>
  <c r="N17" i="50" l="1"/>
  <c r="Q17" i="50" s="1"/>
  <c r="P18" i="50"/>
  <c r="M18" i="50"/>
  <c r="O18" i="50" s="1"/>
  <c r="L19" i="50"/>
  <c r="N78" i="50"/>
  <c r="Q78" i="50" s="1"/>
  <c r="L80" i="50"/>
  <c r="P79" i="50"/>
  <c r="M79" i="50"/>
  <c r="O79" i="50" s="1"/>
  <c r="G30" i="27"/>
  <c r="A67" i="3"/>
  <c r="A69" i="3" s="1"/>
  <c r="A70" i="3" s="1"/>
  <c r="D71"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4" i="3"/>
  <c r="J86" i="3" s="1"/>
  <c r="J62" i="3"/>
  <c r="H62" i="3" s="1"/>
  <c r="J70" i="3"/>
  <c r="B27" i="25"/>
  <c r="F87" i="30"/>
  <c r="L86" i="30"/>
  <c r="F135" i="30"/>
  <c r="L134" i="30"/>
  <c r="P36" i="30"/>
  <c r="F38" i="30"/>
  <c r="L37" i="30"/>
  <c r="P37" i="30" s="1"/>
  <c r="N18" i="50" l="1"/>
  <c r="Q18" i="50" s="1"/>
  <c r="P19" i="50"/>
  <c r="M19" i="50"/>
  <c r="N19" i="50" s="1"/>
  <c r="L20" i="50"/>
  <c r="N79" i="50"/>
  <c r="Q79" i="50" s="1"/>
  <c r="P80" i="50"/>
  <c r="L81" i="50"/>
  <c r="M80" i="50"/>
  <c r="O80" i="50" s="1"/>
  <c r="C28" i="25"/>
  <c r="J72" i="3"/>
  <c r="H72" i="3" s="1"/>
  <c r="H153" i="3" s="1"/>
  <c r="J153" i="3" s="1"/>
  <c r="H212" i="3"/>
  <c r="H216" i="3" s="1"/>
  <c r="A54" i="9"/>
  <c r="A59" i="9" s="1"/>
  <c r="A60" i="9" s="1"/>
  <c r="D54" i="9"/>
  <c r="A71" i="3"/>
  <c r="A72" i="3" s="1"/>
  <c r="D212" i="3"/>
  <c r="H137" i="3"/>
  <c r="J137" i="3" s="1"/>
  <c r="H88" i="3"/>
  <c r="J88" i="3" s="1"/>
  <c r="J89" i="3" s="1"/>
  <c r="H139" i="3"/>
  <c r="J139" i="3" s="1"/>
  <c r="D52" i="9"/>
  <c r="P86" i="30"/>
  <c r="F88" i="30"/>
  <c r="L87" i="30"/>
  <c r="P87" i="30" s="1"/>
  <c r="F39" i="30"/>
  <c r="L38" i="30"/>
  <c r="F136" i="30"/>
  <c r="L135" i="30"/>
  <c r="P135" i="30" s="1"/>
  <c r="P134" i="30"/>
  <c r="O19" i="50" l="1"/>
  <c r="Q19" i="50" s="1"/>
  <c r="P20" i="50"/>
  <c r="M20" i="50"/>
  <c r="O20" i="50" s="1"/>
  <c r="L21" i="50"/>
  <c r="N80" i="50"/>
  <c r="Q80" i="50" s="1"/>
  <c r="P81" i="50"/>
  <c r="L82" i="50"/>
  <c r="M81" i="50"/>
  <c r="N81" i="50" s="1"/>
  <c r="J8" i="27"/>
  <c r="J37" i="25"/>
  <c r="C72" i="3"/>
  <c r="A61" i="9"/>
  <c r="A62" i="9" s="1"/>
  <c r="A63" i="9" s="1"/>
  <c r="A64" i="9" s="1"/>
  <c r="A65" i="9" s="1"/>
  <c r="A66" i="9" s="1"/>
  <c r="A67" i="9" s="1"/>
  <c r="A68" i="9" s="1"/>
  <c r="A69" i="9" s="1"/>
  <c r="A70" i="9" s="1"/>
  <c r="A71" i="9" s="1"/>
  <c r="A72" i="9" s="1"/>
  <c r="A73" i="9" s="1"/>
  <c r="A74" i="3"/>
  <c r="A75" i="3" s="1"/>
  <c r="J140" i="3"/>
  <c r="E14" i="22"/>
  <c r="H76" i="3"/>
  <c r="J76" i="3" s="1"/>
  <c r="G27" i="25"/>
  <c r="I27" i="25" s="1"/>
  <c r="H152" i="3"/>
  <c r="J152" i="3" s="1"/>
  <c r="F89" i="30"/>
  <c r="L88" i="30"/>
  <c r="F137" i="30"/>
  <c r="L136" i="30"/>
  <c r="P136" i="30" s="1"/>
  <c r="P38" i="30"/>
  <c r="L39" i="30"/>
  <c r="P39" i="30" s="1"/>
  <c r="F40" i="30"/>
  <c r="N20" i="50" l="1"/>
  <c r="Q20" i="50" s="1"/>
  <c r="L22" i="50"/>
  <c r="M21" i="50"/>
  <c r="O21" i="50" s="1"/>
  <c r="P21" i="50"/>
  <c r="O81" i="50"/>
  <c r="Q81" i="50" s="1"/>
  <c r="M82" i="50"/>
  <c r="N82" i="50" s="1"/>
  <c r="L83" i="50"/>
  <c r="P82" i="50"/>
  <c r="D73" i="9"/>
  <c r="A76" i="3"/>
  <c r="A77" i="3" s="1"/>
  <c r="E14" i="23"/>
  <c r="E15" i="23" s="1"/>
  <c r="E15" i="22"/>
  <c r="A75" i="9"/>
  <c r="A76" i="9" s="1"/>
  <c r="P88" i="30"/>
  <c r="F90" i="30"/>
  <c r="L89" i="30"/>
  <c r="P89" i="30" s="1"/>
  <c r="L137" i="30"/>
  <c r="F138" i="30"/>
  <c r="L138" i="30" s="1"/>
  <c r="P138" i="30" s="1"/>
  <c r="F41" i="30"/>
  <c r="L40" i="30"/>
  <c r="N21" i="50" l="1"/>
  <c r="Q21" i="50" s="1"/>
  <c r="L23" i="50"/>
  <c r="M22" i="50"/>
  <c r="O22" i="50" s="1"/>
  <c r="P22" i="50"/>
  <c r="O82" i="50"/>
  <c r="Q82" i="50" s="1"/>
  <c r="P83" i="50"/>
  <c r="M83" i="50"/>
  <c r="N83" i="50" s="1"/>
  <c r="L84" i="50"/>
  <c r="A77" i="9"/>
  <c r="A78" i="9" s="1"/>
  <c r="A79" i="9" s="1"/>
  <c r="A80" i="9" s="1"/>
  <c r="A81" i="9" s="1"/>
  <c r="A82" i="9" s="1"/>
  <c r="A83" i="9" s="1"/>
  <c r="A84" i="9" s="1"/>
  <c r="A85" i="9" s="1"/>
  <c r="A86" i="9" s="1"/>
  <c r="A87" i="9" s="1"/>
  <c r="A88" i="9" s="1"/>
  <c r="A89" i="9" s="1"/>
  <c r="D89" i="9"/>
  <c r="G15" i="23"/>
  <c r="A78" i="3"/>
  <c r="A79" i="3" s="1"/>
  <c r="D213" i="3"/>
  <c r="G15" i="22"/>
  <c r="F91" i="30"/>
  <c r="L90" i="30"/>
  <c r="P40" i="30"/>
  <c r="F42" i="30"/>
  <c r="L41" i="30"/>
  <c r="P41" i="30" s="1"/>
  <c r="P137" i="30"/>
  <c r="P139" i="30" s="1"/>
  <c r="F143" i="30" s="1"/>
  <c r="L139" i="30"/>
  <c r="M23" i="50" l="1"/>
  <c r="O23" i="50" s="1"/>
  <c r="P23" i="50"/>
  <c r="L24" i="50"/>
  <c r="N22" i="50"/>
  <c r="Q22" i="50" s="1"/>
  <c r="O83" i="50"/>
  <c r="Q83" i="50" s="1"/>
  <c r="P84" i="50"/>
  <c r="L85" i="50"/>
  <c r="M84" i="50"/>
  <c r="O84" i="50" s="1"/>
  <c r="A80" i="3"/>
  <c r="D215" i="3"/>
  <c r="A91" i="9"/>
  <c r="A92" i="9" s="1"/>
  <c r="P90" i="30"/>
  <c r="L91" i="30"/>
  <c r="P91" i="30" s="1"/>
  <c r="F92" i="30"/>
  <c r="L143" i="30"/>
  <c r="P143" i="30" s="1"/>
  <c r="F43" i="30"/>
  <c r="L43" i="30" s="1"/>
  <c r="L42" i="30"/>
  <c r="P42" i="30" s="1"/>
  <c r="N23" i="50" l="1"/>
  <c r="Q23" i="50"/>
  <c r="P24" i="50"/>
  <c r="M24" i="50"/>
  <c r="N24" i="50" s="1"/>
  <c r="L25" i="50"/>
  <c r="N84" i="50"/>
  <c r="Q84" i="50" s="1"/>
  <c r="M85" i="50"/>
  <c r="O85" i="50" s="1"/>
  <c r="P85" i="50"/>
  <c r="L86" i="50"/>
  <c r="D214" i="3"/>
  <c r="A81" i="3"/>
  <c r="C81" i="3"/>
  <c r="A93" i="9"/>
  <c r="A94" i="9" s="1"/>
  <c r="A95" i="9" s="1"/>
  <c r="A96" i="9" s="1"/>
  <c r="A97" i="9" s="1"/>
  <c r="A98" i="9" s="1"/>
  <c r="A99" i="9" s="1"/>
  <c r="A100" i="9" s="1"/>
  <c r="A101" i="9" s="1"/>
  <c r="A102" i="9" s="1"/>
  <c r="A103" i="9" s="1"/>
  <c r="A104" i="9" s="1"/>
  <c r="A105" i="9" s="1"/>
  <c r="F93" i="30"/>
  <c r="L93" i="30" s="1"/>
  <c r="P93" i="30" s="1"/>
  <c r="L92" i="30"/>
  <c r="P92" i="30" s="1"/>
  <c r="F149" i="30"/>
  <c r="N149" i="30"/>
  <c r="P43" i="30"/>
  <c r="P44" i="30" s="1"/>
  <c r="F48" i="30" s="1"/>
  <c r="L44" i="30"/>
  <c r="O24" i="50" l="1"/>
  <c r="Q24" i="50"/>
  <c r="M25" i="50"/>
  <c r="M26" i="50" s="1"/>
  <c r="P25" i="50"/>
  <c r="P26" i="50" s="1"/>
  <c r="L26" i="50"/>
  <c r="N85" i="50"/>
  <c r="Q85" i="50" s="1"/>
  <c r="L87" i="50"/>
  <c r="P86" i="50"/>
  <c r="M86" i="50"/>
  <c r="O86" i="50" s="1"/>
  <c r="A107" i="9"/>
  <c r="A5" i="29" s="1"/>
  <c r="A7" i="29" s="1"/>
  <c r="A9" i="29" s="1"/>
  <c r="A11" i="29" s="1"/>
  <c r="A13" i="29" s="1"/>
  <c r="D107" i="9"/>
  <c r="A83" i="3"/>
  <c r="A85" i="3" s="1"/>
  <c r="A86" i="3" s="1"/>
  <c r="D105" i="9"/>
  <c r="L94" i="30"/>
  <c r="P94" i="30"/>
  <c r="F98" i="30" s="1"/>
  <c r="L48" i="30"/>
  <c r="P48" i="30"/>
  <c r="F49" i="30" s="1"/>
  <c r="N150" i="30"/>
  <c r="N151" i="30" s="1"/>
  <c r="N152" i="30" s="1"/>
  <c r="N153" i="30" s="1"/>
  <c r="N154" i="30" s="1"/>
  <c r="N155" i="30" s="1"/>
  <c r="N156" i="30" s="1"/>
  <c r="N157" i="30" s="1"/>
  <c r="N158" i="30" s="1"/>
  <c r="N159" i="30" s="1"/>
  <c r="N160" i="30" s="1"/>
  <c r="P149" i="30"/>
  <c r="F150" i="30" s="1"/>
  <c r="L149" i="30"/>
  <c r="N25" i="50" l="1"/>
  <c r="N26" i="50" s="1"/>
  <c r="O25" i="50"/>
  <c r="O26" i="50" s="1"/>
  <c r="N86" i="50"/>
  <c r="Q86" i="50" s="1"/>
  <c r="P87" i="50"/>
  <c r="P88" i="50" s="1"/>
  <c r="M87" i="50"/>
  <c r="M88" i="50" s="1"/>
  <c r="L88" i="50"/>
  <c r="A87" i="3"/>
  <c r="A88" i="3" s="1"/>
  <c r="A89"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87" i="50" l="1"/>
  <c r="N88" i="50" s="1"/>
  <c r="Q25" i="50"/>
  <c r="Q36" i="50" s="1"/>
  <c r="O87" i="50"/>
  <c r="O88" i="50" s="1"/>
  <c r="N165" i="30"/>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C89" i="3"/>
  <c r="A91" i="3"/>
  <c r="C91" i="3"/>
  <c r="L99" i="30"/>
  <c r="P99" i="30" s="1"/>
  <c r="L50" i="30"/>
  <c r="P50" i="30" s="1"/>
  <c r="L151" i="30"/>
  <c r="P151" i="30"/>
  <c r="F152" i="30" s="1"/>
  <c r="Q87" i="50" l="1"/>
  <c r="Q98" i="50" s="1"/>
  <c r="Q100" i="50" s="1"/>
  <c r="J102" i="50" s="1"/>
  <c r="E75" i="3" s="1"/>
  <c r="J75" i="3" s="1"/>
  <c r="J81" i="3" s="1"/>
  <c r="J91" i="3" s="1"/>
  <c r="A117" i="3"/>
  <c r="A118" i="3" s="1"/>
  <c r="D43" i="29"/>
  <c r="A139" i="29"/>
  <c r="A140" i="29" s="1"/>
  <c r="A141" i="29" s="1"/>
  <c r="A142" i="29" s="1"/>
  <c r="A143" i="29" s="1"/>
  <c r="A150" i="29" s="1"/>
  <c r="A153" i="29" s="1"/>
  <c r="A154" i="29" s="1"/>
  <c r="F105" i="30"/>
  <c r="N105" i="30"/>
  <c r="L152" i="30"/>
  <c r="P152" i="30"/>
  <c r="F153" i="30" s="1"/>
  <c r="F56" i="30"/>
  <c r="N56" i="30"/>
  <c r="E81" i="3" l="1"/>
  <c r="E91" i="3" s="1"/>
  <c r="E157" i="3" s="1"/>
  <c r="E151" i="3" s="1"/>
  <c r="E154" i="3" s="1"/>
  <c r="E159" i="3" s="1"/>
  <c r="J157" i="3"/>
  <c r="J7" i="25"/>
  <c r="J16" i="25" s="1"/>
  <c r="D143" i="29"/>
  <c r="D140" i="29"/>
  <c r="D142" i="29"/>
  <c r="A155" i="29"/>
  <c r="A156" i="29" s="1"/>
  <c r="A157" i="29" s="1"/>
  <c r="A158" i="29" s="1"/>
  <c r="A159" i="29" s="1"/>
  <c r="A160" i="29" s="1"/>
  <c r="A119" i="3"/>
  <c r="A120" i="3" s="1"/>
  <c r="A121" i="3" s="1"/>
  <c r="A122" i="3" s="1"/>
  <c r="A123" i="3" s="1"/>
  <c r="A124" i="3" s="1"/>
  <c r="C124" i="3"/>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D26" i="25" l="1"/>
  <c r="D28" i="25" s="1"/>
  <c r="I26" i="25"/>
  <c r="J28" i="25" s="1"/>
  <c r="J31" i="25" s="1"/>
  <c r="J151" i="3"/>
  <c r="J154" i="3" s="1"/>
  <c r="J33" i="25"/>
  <c r="A126" i="3"/>
  <c r="A127" i="3" s="1"/>
  <c r="N119" i="30"/>
  <c r="N121" i="30" s="1"/>
  <c r="C161" i="29"/>
  <c r="A161" i="29"/>
  <c r="A163" i="29"/>
  <c r="A164" i="29" s="1"/>
  <c r="P106" i="30"/>
  <c r="F107" i="30" s="1"/>
  <c r="L106" i="30"/>
  <c r="N70" i="30"/>
  <c r="P10" i="30" s="1"/>
  <c r="L57" i="30"/>
  <c r="P57" i="30"/>
  <c r="F58" i="30" s="1"/>
  <c r="P154" i="30"/>
  <c r="F155" i="30" s="1"/>
  <c r="L154" i="30"/>
  <c r="J159" i="3" l="1"/>
  <c r="J34" i="25"/>
  <c r="J35" i="25" s="1"/>
  <c r="J36" i="25" s="1"/>
  <c r="J38" i="25" s="1"/>
  <c r="J10" i="27" s="1"/>
  <c r="P11" i="30"/>
  <c r="N72" i="30"/>
  <c r="A128" i="3"/>
  <c r="A129" i="3" s="1"/>
  <c r="A130" i="3" s="1"/>
  <c r="A165" i="29"/>
  <c r="A166" i="29" s="1"/>
  <c r="A167" i="29" s="1"/>
  <c r="A168" i="29" s="1"/>
  <c r="A169" i="29" s="1"/>
  <c r="A170" i="29" s="1"/>
  <c r="P16" i="30"/>
  <c r="L107" i="30"/>
  <c r="P107" i="30"/>
  <c r="F108" i="30" s="1"/>
  <c r="P58" i="30"/>
  <c r="F59" i="30" s="1"/>
  <c r="L58" i="30"/>
  <c r="P155" i="30"/>
  <c r="F156" i="30" s="1"/>
  <c r="L155" i="30"/>
  <c r="F28" i="27" l="1"/>
  <c r="J28" i="27" s="1"/>
  <c r="K28" i="27" s="1"/>
  <c r="F29" i="27"/>
  <c r="J29" i="27" s="1"/>
  <c r="K29" i="27" s="1"/>
  <c r="F27" i="27"/>
  <c r="J27" i="27" s="1"/>
  <c r="K27" i="27" s="1"/>
  <c r="F26" i="27"/>
  <c r="J26" i="27" s="1"/>
  <c r="K26" i="27" s="1"/>
  <c r="F25" i="27"/>
  <c r="J25" i="27" s="1"/>
  <c r="K25" i="27" s="1"/>
  <c r="J5" i="27"/>
  <c r="J7" i="27" s="1"/>
  <c r="J9" i="27" s="1"/>
  <c r="I47" i="27"/>
  <c r="C130" i="3"/>
  <c r="C171" i="29"/>
  <c r="A132" i="3"/>
  <c r="A133" i="3" s="1"/>
  <c r="A134" i="3" s="1"/>
  <c r="A171" i="29"/>
  <c r="A173" i="29" s="1"/>
  <c r="A174" i="29" s="1"/>
  <c r="P108" i="30"/>
  <c r="F109" i="30" s="1"/>
  <c r="L108" i="30"/>
  <c r="L156" i="30"/>
  <c r="P156" i="30"/>
  <c r="F157" i="30" s="1"/>
  <c r="L59" i="30"/>
  <c r="P59" i="30"/>
  <c r="F60" i="30" s="1"/>
  <c r="E24" i="27" l="1"/>
  <c r="E23" i="27"/>
  <c r="E22" i="27"/>
  <c r="E21" i="27"/>
  <c r="A175" i="29"/>
  <c r="A176" i="29" s="1"/>
  <c r="A177" i="29" s="1"/>
  <c r="A178" i="29" s="1"/>
  <c r="A179" i="29" s="1"/>
  <c r="A180" i="29" s="1"/>
  <c r="A135" i="3"/>
  <c r="A136" i="3" s="1"/>
  <c r="A137" i="3" s="1"/>
  <c r="A138" i="3" s="1"/>
  <c r="A139" i="3" s="1"/>
  <c r="A140" i="3" s="1"/>
  <c r="P109" i="30"/>
  <c r="F110" i="30" s="1"/>
  <c r="L109" i="30"/>
  <c r="P60" i="30"/>
  <c r="F61" i="30" s="1"/>
  <c r="L60" i="30"/>
  <c r="P157" i="30"/>
  <c r="F158" i="30" s="1"/>
  <c r="L157" i="30"/>
  <c r="I23" i="27" l="1"/>
  <c r="F23" i="27"/>
  <c r="J23" i="27" s="1"/>
  <c r="I21" i="27"/>
  <c r="F21" i="27"/>
  <c r="J21" i="27" s="1"/>
  <c r="I22" i="27"/>
  <c r="F22" i="27"/>
  <c r="J22" i="27" s="1"/>
  <c r="I24" i="27"/>
  <c r="F24" i="27"/>
  <c r="J24" i="27" s="1"/>
  <c r="C140" i="3"/>
  <c r="A142" i="3"/>
  <c r="A143" i="3" s="1"/>
  <c r="C181" i="29"/>
  <c r="A181" i="29"/>
  <c r="A183" i="29" s="1"/>
  <c r="A10" i="38" s="1"/>
  <c r="D183" i="29"/>
  <c r="L110" i="30"/>
  <c r="P110" i="30"/>
  <c r="F111" i="30" s="1"/>
  <c r="L158" i="30"/>
  <c r="P158" i="30"/>
  <c r="F159" i="30" s="1"/>
  <c r="L61" i="30"/>
  <c r="P61" i="30"/>
  <c r="F62" i="30" s="1"/>
  <c r="K22" i="27" l="1"/>
  <c r="K23" i="27"/>
  <c r="K24" i="27"/>
  <c r="I30" i="27"/>
  <c r="J30" i="27"/>
  <c r="K21" i="27"/>
  <c r="C147" i="3"/>
  <c r="A144" i="3"/>
  <c r="A11" i="38"/>
  <c r="A12" i="38" s="1"/>
  <c r="A13" i="38" s="1"/>
  <c r="A14" i="38" s="1"/>
  <c r="A15" i="38" s="1"/>
  <c r="L111" i="30"/>
  <c r="P111" i="30"/>
  <c r="F112" i="30" s="1"/>
  <c r="P159" i="30"/>
  <c r="F160" i="30" s="1"/>
  <c r="L159" i="30"/>
  <c r="L62" i="30"/>
  <c r="P62" i="30"/>
  <c r="F63" i="30" s="1"/>
  <c r="K30" i="27" l="1"/>
  <c r="E161" i="3" s="1"/>
  <c r="J161" i="3" s="1"/>
  <c r="A16" i="38"/>
  <c r="A17" i="38" s="1"/>
  <c r="A18" i="38" s="1"/>
  <c r="A19" i="38" s="1"/>
  <c r="C15" i="38"/>
  <c r="A145" i="3"/>
  <c r="A146" i="3" s="1"/>
  <c r="A147" i="3" s="1"/>
  <c r="P112" i="30"/>
  <c r="F113" i="30" s="1"/>
  <c r="L112" i="30"/>
  <c r="L63" i="30"/>
  <c r="P63" i="30"/>
  <c r="F64" i="30" s="1"/>
  <c r="L160" i="30"/>
  <c r="L161" i="30" s="1"/>
  <c r="P160" i="30"/>
  <c r="E163" i="3" l="1"/>
  <c r="J163" i="3"/>
  <c r="K47" i="27"/>
  <c r="A148" i="3"/>
  <c r="A151" i="3" s="1"/>
  <c r="C152" i="3"/>
  <c r="A20" i="38"/>
  <c r="A21" i="38" s="1"/>
  <c r="A22" i="38" s="1"/>
  <c r="A23" i="38" s="1"/>
  <c r="A24" i="38" s="1"/>
  <c r="A25" i="38" s="1"/>
  <c r="A26" i="38" s="1"/>
  <c r="A27" i="38" s="1"/>
  <c r="A28" i="38" s="1"/>
  <c r="P113" i="30"/>
  <c r="F114" i="30" s="1"/>
  <c r="L113" i="30"/>
  <c r="P64" i="30"/>
  <c r="F65" i="30" s="1"/>
  <c r="L64" i="30"/>
  <c r="J47" i="27" l="1"/>
  <c r="J33" i="3"/>
  <c r="A29" i="38"/>
  <c r="A30" i="38" s="1"/>
  <c r="A31" i="38" s="1"/>
  <c r="A32" i="38" s="1"/>
  <c r="A33" i="38" s="1"/>
  <c r="A34" i="38" s="1"/>
  <c r="A152" i="3"/>
  <c r="A154" i="3" s="1"/>
  <c r="C23" i="38"/>
  <c r="B25" i="38"/>
  <c r="L114" i="30"/>
  <c r="P114" i="30"/>
  <c r="F115" i="30" s="1"/>
  <c r="P65" i="30"/>
  <c r="F66" i="30" s="1"/>
  <c r="L65" i="30"/>
  <c r="A156" i="3" l="1"/>
  <c r="A157" i="3" s="1"/>
  <c r="C159" i="3" s="1"/>
  <c r="B34" i="25"/>
  <c r="C34" i="38"/>
  <c r="A35" i="38"/>
  <c r="A36" i="38" s="1"/>
  <c r="A37" i="38" s="1"/>
  <c r="A38" i="38" s="1"/>
  <c r="A39" i="38" s="1"/>
  <c r="B36" i="38"/>
  <c r="P115" i="30"/>
  <c r="F116" i="30" s="1"/>
  <c r="L115" i="30"/>
  <c r="P66" i="30"/>
  <c r="F67" i="30" s="1"/>
  <c r="L66" i="30"/>
  <c r="A40" i="38" l="1"/>
  <c r="A41" i="38" s="1"/>
  <c r="B41" i="38"/>
  <c r="B33" i="25"/>
  <c r="A159" i="3"/>
  <c r="C151" i="3"/>
  <c r="P116" i="30"/>
  <c r="L116" i="30"/>
  <c r="L117" i="30" s="1"/>
  <c r="L67" i="30"/>
  <c r="L68" i="30" s="1"/>
  <c r="P67" i="30"/>
  <c r="A161" i="3" l="1"/>
  <c r="A163" i="3" s="1"/>
  <c r="H9" i="17"/>
  <c r="J53" i="17" s="1"/>
  <c r="C163" i="3" l="1"/>
  <c r="E20" i="17"/>
  <c r="E21" i="17" s="1"/>
  <c r="I21" i="17" s="1"/>
  <c r="L21" i="17" s="1"/>
  <c r="D33" i="3"/>
  <c r="A187" i="3"/>
  <c r="A189" i="3" s="1"/>
  <c r="E22" i="17" l="1"/>
  <c r="I20" i="17"/>
  <c r="L20" i="17" s="1"/>
  <c r="A190" i="3"/>
  <c r="A191" i="3" s="1"/>
  <c r="A192" i="3" s="1"/>
  <c r="I22" i="17"/>
  <c r="L22" i="17" s="1"/>
  <c r="E23" i="17"/>
  <c r="C192" i="3" l="1"/>
  <c r="C194" i="3"/>
  <c r="A194" i="3"/>
  <c r="A196" i="3" s="1"/>
  <c r="A197" i="3" s="1"/>
  <c r="A198" i="3" s="1"/>
  <c r="E24" i="17"/>
  <c r="I23" i="17"/>
  <c r="L23" i="17" s="1"/>
  <c r="A199" i="3" l="1"/>
  <c r="A200" i="3" s="1"/>
  <c r="A202" i="3" s="1"/>
  <c r="A204" i="3" s="1"/>
  <c r="I24" i="17"/>
  <c r="L24" i="17" s="1"/>
  <c r="E25" i="17"/>
  <c r="C200" i="3" l="1"/>
  <c r="A205" i="3"/>
  <c r="A206" i="3" s="1"/>
  <c r="A207" i="3" s="1"/>
  <c r="C145" i="3" s="1"/>
  <c r="C207" i="3"/>
  <c r="I25" i="17"/>
  <c r="L25" i="17" s="1"/>
  <c r="E26" i="17"/>
  <c r="A212" i="3" l="1"/>
  <c r="A213" i="3" s="1"/>
  <c r="A214" i="3" s="1"/>
  <c r="A215" i="3" s="1"/>
  <c r="A216" i="3" s="1"/>
  <c r="C157"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L39" i="17" l="1"/>
  <c r="E40" i="17" s="1"/>
  <c r="I39" i="17"/>
  <c r="J52" i="17"/>
  <c r="L40" i="17" l="1"/>
  <c r="E41" i="17" s="1"/>
  <c r="I40" i="17"/>
  <c r="E38" i="3"/>
  <c r="J38" i="3" s="1"/>
  <c r="J40"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8" authorId="0" shapeId="0" xr:uid="{E1BC9D74-5075-4A72-B3BD-CF74A291D636}">
      <text>
        <r>
          <rPr>
            <b/>
            <sz val="12"/>
            <color indexed="81"/>
            <rFont val="Tahoma"/>
            <family val="2"/>
          </rPr>
          <t>Reference will be same as Column O for Projection Template</t>
        </r>
      </text>
    </comment>
    <comment ref="J28" authorId="0" shapeId="0" xr:uid="{68009B58-5E01-4C2D-8EEB-B2E9E0153CE1}">
      <text>
        <r>
          <rPr>
            <b/>
            <sz val="9"/>
            <color indexed="81"/>
            <rFont val="Tahoma"/>
            <family val="2"/>
          </rPr>
          <t xml:space="preserve">Can reference cell Q28 for Projection Template </t>
        </r>
      </text>
    </comment>
    <comment ref="E29" authorId="0" shapeId="0" xr:uid="{5783998B-06E9-4A8D-BC00-C7B68EAE5AB8}">
      <text>
        <r>
          <rPr>
            <b/>
            <sz val="12"/>
            <color indexed="81"/>
            <rFont val="Tahoma"/>
            <family val="2"/>
          </rPr>
          <t>Reference will be same as Column O for Projection Template</t>
        </r>
      </text>
    </comment>
    <comment ref="J29" authorId="0" shapeId="0" xr:uid="{E327A05E-A840-458E-9370-69E3F53A4E23}">
      <text>
        <r>
          <rPr>
            <b/>
            <sz val="9"/>
            <color indexed="81"/>
            <rFont val="Tahoma"/>
            <family val="2"/>
          </rPr>
          <t xml:space="preserve">Can reference cell Q29 for Projection Template </t>
        </r>
        <r>
          <rPr>
            <sz val="9"/>
            <color indexed="81"/>
            <rFont val="Tahoma"/>
            <family val="2"/>
          </rPr>
          <t xml:space="preserve">
</t>
        </r>
      </text>
    </comment>
    <comment ref="E30" authorId="0" shapeId="0" xr:uid="{7BB01417-BC9C-4C3A-BD19-AB4AE4B4727F}">
      <text>
        <r>
          <rPr>
            <b/>
            <sz val="12"/>
            <color indexed="81"/>
            <rFont val="Tahoma"/>
            <family val="2"/>
          </rPr>
          <t>Reference will be same as Column O for Projection Template</t>
        </r>
      </text>
    </comment>
    <comment ref="E31" authorId="0" shapeId="0" xr:uid="{50963CF2-235C-43AB-8880-79F6E98A00E6}">
      <text>
        <r>
          <rPr>
            <b/>
            <sz val="12"/>
            <color indexed="81"/>
            <rFont val="Tahoma"/>
            <family val="2"/>
          </rPr>
          <t>Reference will be same as Column O for Projection Template</t>
        </r>
      </text>
    </comment>
    <comment ref="J31" authorId="0" shapeId="0" xr:uid="{69D06364-B58C-4E60-AA07-B5277264C4F3}">
      <text>
        <r>
          <rPr>
            <b/>
            <sz val="9"/>
            <color indexed="81"/>
            <rFont val="Tahoma"/>
            <family val="2"/>
          </rPr>
          <t xml:space="preserve">Can reference cell Q31
 for Projection Template </t>
        </r>
        <r>
          <rPr>
            <sz val="9"/>
            <color indexed="81"/>
            <rFont val="Tahoma"/>
            <family val="2"/>
          </rPr>
          <t xml:space="preserve">
</t>
        </r>
      </text>
    </comment>
    <comment ref="E32" authorId="0" shapeId="0" xr:uid="{5ACDB415-B556-4092-848B-AB22DE3E7B2D}">
      <text>
        <r>
          <rPr>
            <b/>
            <sz val="12"/>
            <color indexed="81"/>
            <rFont val="Tahoma"/>
            <family val="2"/>
          </rPr>
          <t>Reference will be same as Column O for Projection Template</t>
        </r>
      </text>
    </comment>
    <comment ref="J32" authorId="0" shapeId="0" xr:uid="{F195209E-77F8-4303-B659-7DC7CA86F7B3}">
      <text>
        <r>
          <rPr>
            <b/>
            <sz val="9"/>
            <color indexed="81"/>
            <rFont val="Tahoma"/>
            <family val="2"/>
          </rPr>
          <t xml:space="preserve">Can reference cell Q32
 for Projection Template 
</t>
        </r>
        <r>
          <rPr>
            <sz val="9"/>
            <color indexed="81"/>
            <rFont val="Tahoma"/>
            <family val="2"/>
          </rPr>
          <t xml:space="preserve">
</t>
        </r>
      </text>
    </comment>
    <comment ref="E33" authorId="0" shapeId="0" xr:uid="{A3AD327C-001A-4130-AAB6-D70D9D4F9FCB}">
      <text>
        <r>
          <rPr>
            <b/>
            <sz val="12"/>
            <color indexed="81"/>
            <rFont val="Tahoma"/>
            <family val="2"/>
          </rPr>
          <t>Reference will be same as Column O for Projection Template</t>
        </r>
      </text>
    </comment>
    <comment ref="E59" authorId="0" shapeId="0" xr:uid="{8F2DDDE0-5DCA-434E-AEE5-F1014BB2706B}">
      <text>
        <r>
          <rPr>
            <b/>
            <sz val="12"/>
            <color indexed="81"/>
            <rFont val="Tahoma"/>
            <family val="2"/>
          </rPr>
          <t>Reference will be same as Column O for Projection Template</t>
        </r>
      </text>
    </comment>
    <comment ref="E60" authorId="0" shapeId="0" xr:uid="{66466B99-DFF4-4784-8551-9079F8387B54}">
      <text>
        <r>
          <rPr>
            <b/>
            <sz val="12"/>
            <color indexed="81"/>
            <rFont val="Tahoma"/>
            <family val="2"/>
          </rPr>
          <t>Reference will be same as Column O for Projection Template</t>
        </r>
      </text>
    </comment>
    <comment ref="E61" authorId="0" shapeId="0" xr:uid="{A2EFB7F5-43E8-4A13-AE86-7C2ECF6D4294}">
      <text>
        <r>
          <rPr>
            <b/>
            <sz val="12"/>
            <color indexed="81"/>
            <rFont val="Tahoma"/>
            <family val="2"/>
          </rPr>
          <t>Reference will be same as Column O for Projection Template</t>
        </r>
      </text>
    </comment>
    <comment ref="E62" authorId="0" shapeId="0" xr:uid="{56417CA5-C404-48AD-B155-FDC9EDD10038}">
      <text>
        <r>
          <rPr>
            <b/>
            <sz val="12"/>
            <color indexed="81"/>
            <rFont val="Tahoma"/>
            <family val="2"/>
          </rPr>
          <t>Reference will be same as Column O for Projection Template</t>
        </r>
      </text>
    </comment>
    <comment ref="E63" authorId="0" shapeId="0" xr:uid="{1497A6DF-F0BD-4487-AFBC-7659D86126F4}">
      <text>
        <r>
          <rPr>
            <b/>
            <sz val="12"/>
            <color indexed="81"/>
            <rFont val="Tahoma"/>
            <family val="2"/>
          </rPr>
          <t>Reference will be same as Column O for Projection Template</t>
        </r>
      </text>
    </comment>
    <comment ref="E64" authorId="0" shapeId="0" xr:uid="{4F6D6848-2D6A-4667-8698-4447F6D5E150}">
      <text>
        <r>
          <rPr>
            <b/>
            <sz val="12"/>
            <color indexed="81"/>
            <rFont val="Tahoma"/>
            <family val="2"/>
          </rPr>
          <t>Reference will be same as Column O for Projection Template</t>
        </r>
      </text>
    </comment>
    <comment ref="E90" authorId="0" shapeId="0" xr:uid="{C77453F7-E480-4447-911B-E97EE1D7DE84}">
      <text>
        <r>
          <rPr>
            <b/>
            <sz val="12"/>
            <color indexed="81"/>
            <rFont val="Tahoma"/>
            <family val="2"/>
          </rPr>
          <t>Reference will be same as Column O for Projection Template</t>
        </r>
      </text>
    </comment>
    <comment ref="E91" authorId="0" shapeId="0" xr:uid="{4BF38AF4-EF53-42DE-92F0-E3FF3FFEA660}">
      <text>
        <r>
          <rPr>
            <b/>
            <sz val="12"/>
            <color indexed="81"/>
            <rFont val="Tahoma"/>
            <family val="2"/>
          </rPr>
          <t>Reference will be same as Column O for Projection Template</t>
        </r>
      </text>
    </comment>
    <comment ref="E92" authorId="0" shapeId="0" xr:uid="{74BDC93A-21F9-4624-B884-18CC0BE01478}">
      <text>
        <r>
          <rPr>
            <b/>
            <sz val="12"/>
            <color indexed="81"/>
            <rFont val="Tahoma"/>
            <family val="2"/>
          </rPr>
          <t>Reference will be same as Column O for Projection Template</t>
        </r>
      </text>
    </comment>
    <comment ref="E93" authorId="0" shapeId="0" xr:uid="{978A26A6-133F-4437-A1AD-D39511EF0ED1}">
      <text>
        <r>
          <rPr>
            <b/>
            <sz val="12"/>
            <color indexed="81"/>
            <rFont val="Tahoma"/>
            <family val="2"/>
          </rPr>
          <t>Reference will be same as Column O for Projection Template</t>
        </r>
      </text>
    </comment>
    <comment ref="E94" authorId="0" shapeId="0" xr:uid="{E6ABE443-1EB1-4912-9729-C4BCA3C7BBF2}">
      <text>
        <r>
          <rPr>
            <b/>
            <sz val="12"/>
            <color indexed="81"/>
            <rFont val="Tahoma"/>
            <family val="2"/>
          </rPr>
          <t>Reference will be same as Column O for Projection Template</t>
        </r>
      </text>
    </comment>
    <comment ref="E95" authorId="0" shapeId="0" xr:uid="{F394F021-5EA8-479E-9F55-7940365058E8}">
      <text>
        <r>
          <rPr>
            <b/>
            <sz val="12"/>
            <color indexed="81"/>
            <rFont val="Tahoma"/>
            <family val="2"/>
          </rPr>
          <t>Reference will be same as Column O for Projection Template</t>
        </r>
      </text>
    </comment>
    <comment ref="J102" authorId="0" shapeId="0" xr:uid="{A0129B00-FA5B-4BCC-9225-3BF51B4DB07F}">
      <text>
        <r>
          <rPr>
            <b/>
            <sz val="9"/>
            <color indexed="81"/>
            <rFont val="Tahoma"/>
            <family val="2"/>
          </rPr>
          <t>Formula should use cell Q100 for true up and cell J100 for Projection Template - this carries to Appendix III</t>
        </r>
      </text>
    </comment>
  </commentList>
</comments>
</file>

<file path=xl/sharedStrings.xml><?xml version="1.0" encoding="utf-8"?>
<sst xmlns="http://schemas.openxmlformats.org/spreadsheetml/2006/main" count="2513" uniqueCount="1212">
  <si>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</si>
  <si>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</si>
  <si>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</si>
  <si>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</si>
  <si>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</si>
  <si>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</si>
  <si>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</si>
  <si>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</si>
  <si>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</si>
  <si>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</si>
  <si>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</si>
  <si>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</si>
  <si>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</si>
  <si>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</si>
  <si>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</si>
  <si>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</si>
  <si>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</si>
  <si>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</si>
  <si>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</si>
  <si>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</si>
  <si>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</si>
  <si>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</si>
  <si>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</si>
  <si>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</si>
  <si>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</si>
  <si>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</si>
  <si>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</si>
  <si>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</si>
  <si>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</si>
  <si>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</si>
  <si>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</si>
  <si>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</si>
  <si>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</si>
  <si>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</si>
  <si>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</si>
  <si>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</si>
  <si>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</si>
  <si>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</si>
  <si>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</si>
  <si>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</si>
  <si>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</si>
  <si>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</si>
  <si>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</si>
  <si>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</si>
  <si>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</si>
  <si>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</si>
  <si>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</si>
  <si>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</si>
  <si>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</si>
  <si>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</si>
  <si>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</si>
  <si>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</si>
  <si>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</si>
  <si>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</si>
  <si>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</si>
  <si>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</si>
  <si>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</si>
  <si>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</si>
  <si>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</si>
  <si>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</si>
  <si>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</si>
  <si>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</si>
  <si>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</si>
  <si>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</si>
  <si>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</si>
  <si>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</si>
  <si>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</si>
  <si>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</si>
  <si>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</si>
  <si>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</si>
  <si>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</si>
  <si>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</si>
  <si>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</si>
  <si>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</si>
  <si>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</si>
  <si>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</si>
  <si>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</si>
  <si>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</si>
  <si>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</si>
  <si>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</si>
  <si>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</si>
  <si>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</si>
  <si>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</si>
  <si>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</si>
  <si>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</si>
  <si>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</si>
  <si>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</si>
  <si>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</si>
  <si>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</si>
  <si>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</si>
  <si>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</si>
  <si>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</si>
  <si>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</si>
  <si>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</si>
  <si>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</si>
  <si>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</si>
  <si>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</si>
  <si>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</si>
  <si>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</si>
  <si>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</si>
  <si>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</si>
  <si>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</si>
  <si>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</si>
  <si>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</si>
  <si>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</si>
  <si>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</si>
  <si>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</si>
  <si>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</si>
  <si>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</si>
  <si>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</si>
  <si>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</si>
  <si>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</si>
  <si>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</si>
  <si>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</si>
  <si>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</si>
  <si>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</si>
  <si>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</si>
  <si>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</si>
  <si>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</si>
  <si>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</si>
  <si>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</si>
  <si>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</si>
  <si>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</si>
  <si>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</si>
  <si>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</si>
  <si>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</si>
  <si>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</si>
  <si>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</si>
  <si>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</si>
  <si>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</si>
  <si>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</si>
  <si>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</si>
  <si>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</si>
  <si>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</si>
  <si>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</si>
  <si>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</si>
  <si>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</si>
  <si>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</si>
  <si>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</si>
  <si>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</si>
  <si>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</si>
  <si>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</si>
  <si>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</si>
  <si>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</si>
  <si>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</si>
  <si>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</si>
  <si>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</si>
  <si>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</si>
  <si>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</si>
  <si>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</si>
  <si>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</si>
  <si>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</si>
  <si>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</si>
  <si>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</si>
  <si>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</si>
  <si>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</si>
  <si>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</si>
  <si>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</si>
  <si>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</si>
  <si>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</si>
  <si>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</si>
  <si>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</si>
  <si>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</si>
  <si>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</si>
  <si>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</si>
  <si>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</si>
  <si>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</si>
  <si>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</si>
  <si>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</si>
  <si>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</si>
  <si>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</si>
  <si>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</si>
  <si>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</si>
  <si>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</si>
  <si>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</si>
  <si>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</si>
  <si>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</si>
  <si>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</si>
  <si>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</si>
  <si>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</si>
  <si>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</si>
  <si>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</si>
  <si>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</si>
  <si>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</si>
  <si>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</si>
  <si>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</si>
  <si>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</si>
  <si>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</si>
  <si>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</si>
  <si>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</si>
  <si>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</si>
  <si>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</si>
  <si>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</si>
  <si>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</si>
  <si>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</si>
  <si>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</si>
  <si>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</si>
  <si>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</si>
  <si>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</si>
  <si>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</si>
  <si>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</si>
  <si>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</si>
  <si>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</si>
  <si>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</si>
  <si>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</si>
  <si>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</si>
  <si>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</si>
  <si>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</si>
  <si>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</si>
  <si>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</si>
  <si>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</si>
  <si>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</si>
  <si>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</si>
  <si>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</si>
  <si>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</si>
  <si>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</si>
  <si>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</si>
  <si>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</si>
  <si>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</si>
  <si>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</si>
  <si>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</si>
  <si>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</si>
  <si>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</si>
  <si>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</si>
  <si>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</si>
  <si>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</si>
  <si>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</si>
  <si>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</si>
  <si>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</si>
  <si>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</si>
  <si>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</si>
  <si>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</si>
  <si>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</si>
  <si>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</si>
  <si>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</si>
  <si>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</si>
  <si>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</si>
  <si>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</si>
  <si>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</si>
  <si>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</si>
  <si>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</si>
  <si>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</si>
  <si>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</si>
  <si>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</si>
  <si>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</si>
  <si>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</si>
  <si>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</si>
  <si>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</si>
  <si>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</si>
  <si>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</si>
  <si>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</si>
  <si>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</si>
  <si>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</si>
  <si>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</si>
  <si>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</si>
  <si>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</si>
  <si>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</si>
  <si>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</si>
  <si>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</si>
  <si>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</si>
  <si>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</si>
  <si>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</si>
  <si>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</si>
  <si>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</si>
  <si>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</si>
  <si>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</si>
  <si>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</si>
  <si>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</si>
  <si>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</si>
  <si>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</si>
  <si>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</si>
  <si>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</si>
  <si>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</si>
  <si>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</si>
  <si>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</si>
  <si>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</si>
  <si>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</si>
  <si>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</si>
  <si>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</si>
  <si>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</si>
  <si>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</si>
  <si>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</si>
  <si>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</si>
  <si>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</si>
  <si>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</si>
  <si>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</si>
  <si>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</si>
  <si>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</si>
  <si>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</si>
  <si>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</si>
  <si>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</si>
  <si>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</si>
  <si>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</si>
  <si>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</si>
  <si>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</si>
  <si>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</si>
  <si>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</si>
  <si>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</si>
  <si>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</si>
  <si>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</si>
  <si>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</si>
  <si>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</si>
  <si>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</si>
  <si>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</si>
  <si>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</si>
  <si>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</si>
  <si>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</si>
  <si>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</si>
  <si>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</si>
  <si>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</si>
  <si>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</si>
  <si>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</si>
  <si>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</si>
  <si>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</si>
  <si>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</si>
  <si>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</si>
  <si>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</si>
  <si>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</si>
  <si>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</si>
  <si>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</si>
  <si>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</si>
  <si>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</si>
  <si>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</si>
  <si>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</si>
  <si>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</si>
  <si>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</si>
  <si>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</si>
  <si>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</si>
  <si>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</si>
  <si>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</si>
  <si>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</si>
  <si>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</si>
  <si>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</si>
  <si>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</si>
  <si>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</si>
  <si>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</si>
  <si>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</si>
  <si>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</si>
  <si>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</si>
  <si>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</si>
  <si>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</si>
  <si>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</si>
  <si>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</si>
  <si>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</si>
  <si>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</si>
  <si>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</si>
  <si>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</si>
  <si>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</si>
  <si>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</si>
  <si>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</si>
  <si>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</si>
  <si>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</si>
  <si>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</si>
  <si>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</si>
  <si>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</si>
  <si>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</si>
  <si>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</si>
  <si>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</si>
  <si>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</si>
  <si>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</si>
  <si>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</si>
  <si>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</si>
  <si>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</si>
  <si>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</si>
  <si>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</si>
  <si>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</si>
  <si>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</si>
  <si>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</si>
  <si>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</si>
  <si>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</si>
  <si>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</si>
  <si>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</si>
  <si>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</si>
  <si>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</si>
  <si>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</si>
  <si>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</si>
  <si>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</si>
  <si>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</si>
  <si>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</si>
  <si>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</si>
  <si>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</si>
  <si>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</si>
  <si>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</si>
  <si>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</si>
  <si>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</si>
  <si>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</si>
  <si>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</si>
  <si>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</si>
  <si>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</si>
  <si>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</si>
  <si>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</si>
  <si>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</si>
  <si>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</si>
  <si>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</si>
  <si>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</si>
  <si>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</si>
  <si>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Projected Annual Transmission Revenue Requirement</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</si>
  <si>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</si>
  <si>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</si>
  <si>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</si>
  <si>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</si>
  <si>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</si>
  <si>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</si>
  <si>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</si>
  <si>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</si>
  <si>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</si>
  <si>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</si>
  <si>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</si>
  <si>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</si>
  <si>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</si>
  <si>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</si>
  <si>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</si>
  <si>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</si>
  <si>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</si>
  <si>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</si>
  <si>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</si>
  <si>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</si>
  <si>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</si>
  <si>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</si>
  <si>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</si>
  <si>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</si>
  <si>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</si>
  <si>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</si>
  <si>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</si>
  <si>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</si>
  <si>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</si>
  <si>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</si>
  <si>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</si>
  <si>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</si>
  <si>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</si>
  <si>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</si>
  <si>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</si>
  <si>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</si>
  <si>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</si>
  <si>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</si>
  <si>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</si>
  <si>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</si>
  <si>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</si>
  <si>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</si>
  <si>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</si>
  <si>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</si>
  <si>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</si>
  <si>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</si>
  <si>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</si>
  <si>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</si>
  <si>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</si>
  <si>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</si>
  <si>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</si>
  <si>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</si>
  <si>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</si>
  <si>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</si>
  <si>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</si>
  <si>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</si>
  <si>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</si>
  <si>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</si>
  <si>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</si>
  <si>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</si>
  <si>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</si>
  <si>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</si>
  <si>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</si>
  <si>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</si>
  <si>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</si>
  <si>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</si>
  <si>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</si>
  <si>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</si>
  <si>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</si>
  <si>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</si>
  <si>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</si>
  <si>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</si>
  <si>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</si>
  <si>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</si>
  <si>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</si>
  <si>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</si>
  <si>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</si>
  <si>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</si>
  <si>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</si>
  <si>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</si>
  <si>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</si>
  <si>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</si>
  <si>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</si>
  <si>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</si>
  <si>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</si>
  <si>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</si>
  <si>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</si>
  <si>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</si>
  <si>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</si>
  <si>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</si>
  <si>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</si>
  <si>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</si>
  <si>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</si>
  <si>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</si>
  <si>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</si>
  <si>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</si>
  <si>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</si>
  <si>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</si>
  <si>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</si>
  <si>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</si>
  <si>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</si>
  <si>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</si>
  <si>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</si>
  <si>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</si>
  <si>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</si>
  <si>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</si>
  <si>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</si>
  <si>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</si>
  <si>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</si>
  <si>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</si>
  <si>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</si>
  <si>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</si>
  <si>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</si>
  <si>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</si>
  <si>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</si>
  <si>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</si>
  <si>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</si>
  <si>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</si>
  <si>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</si>
  <si>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</si>
  <si>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</si>
  <si>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</si>
  <si>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</si>
  <si>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</si>
  <si>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</si>
  <si>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</si>
  <si>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</si>
  <si>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</si>
  <si>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</si>
  <si>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</si>
  <si>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</si>
  <si>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</si>
  <si>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</si>
  <si>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</si>
  <si>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</si>
  <si>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</si>
  <si>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</si>
  <si>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</si>
  <si>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</si>
  <si>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</si>
  <si>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</si>
  <si>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</si>
  <si>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</si>
  <si>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</si>
  <si>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</si>
  <si>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</si>
  <si>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</si>
  <si>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</si>
  <si>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</si>
  <si>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</si>
  <si>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</si>
  <si>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</si>
  <si>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</si>
  <si>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</si>
  <si>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</si>
  <si>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</si>
  <si>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</si>
  <si>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</si>
  <si>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</si>
  <si>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</si>
  <si>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</si>
  <si>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</si>
  <si>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</si>
  <si>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</si>
  <si>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</si>
  <si>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</si>
  <si>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</si>
  <si>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</si>
  <si>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</si>
  <si>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</si>
  <si>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</si>
  <si>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</si>
  <si>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</si>
  <si>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</si>
  <si>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</si>
  <si>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</si>
  <si>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</si>
  <si>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</si>
  <si>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</si>
  <si>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</si>
  <si>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</si>
  <si>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</si>
  <si>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</si>
  <si>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</si>
  <si>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</si>
  <si>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</si>
  <si>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</si>
  <si>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</si>
  <si>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</si>
  <si>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</si>
  <si>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</si>
  <si>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</si>
  <si>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</si>
  <si>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</si>
  <si>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</si>
  <si>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</si>
  <si>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</si>
  <si>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</si>
  <si>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</si>
  <si>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</si>
  <si>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</si>
  <si>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</si>
  <si>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</si>
  <si>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</si>
  <si>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</si>
  <si>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</si>
  <si>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</si>
  <si>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</si>
  <si>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</si>
  <si>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</si>
  <si>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</si>
  <si>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</si>
  <si>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</si>
  <si>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</si>
  <si>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</si>
  <si>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</si>
  <si>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</si>
  <si>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</si>
  <si>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</si>
  <si>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</si>
  <si>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</si>
  <si>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</si>
  <si>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</si>
  <si>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</si>
  <si>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</si>
  <si>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</si>
  <si>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</si>
  <si>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</si>
  <si>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</si>
  <si>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</si>
  <si>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</si>
  <si>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</si>
  <si>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</si>
  <si>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</si>
  <si>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</si>
  <si>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</si>
  <si>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</si>
  <si>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</si>
  <si>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</si>
  <si>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</si>
  <si>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</si>
  <si>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</si>
  <si>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</si>
  <si>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</si>
  <si>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</si>
  <si>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</si>
  <si>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</si>
  <si>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</si>
  <si>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</si>
  <si>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</si>
  <si>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</si>
  <si>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</si>
  <si>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</si>
  <si>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</si>
  <si>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</si>
  <si>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</si>
  <si>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</si>
  <si>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</si>
  <si>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</si>
  <si>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</si>
  <si>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</si>
  <si>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</si>
  <si>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</si>
  <si>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</si>
  <si>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</si>
  <si>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</si>
  <si>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</si>
  <si>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</si>
  <si>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</si>
  <si>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</si>
  <si>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</si>
  <si>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</si>
  <si>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</si>
  <si>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</si>
  <si>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</si>
  <si>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</si>
  <si>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</si>
  <si>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</si>
  <si>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</si>
  <si>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</si>
  <si>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</si>
  <si>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</si>
  <si>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</si>
  <si>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</si>
  <si>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</si>
  <si>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</si>
  <si>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</si>
  <si>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</si>
  <si>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</si>
  <si>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</si>
  <si>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</si>
  <si>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</si>
  <si>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</si>
  <si>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</si>
  <si>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</si>
  <si>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</si>
  <si>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</si>
  <si>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</si>
  <si>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</si>
  <si>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</si>
  <si>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</si>
  <si>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</si>
  <si>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</si>
  <si>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</si>
  <si>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</si>
  <si>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</si>
  <si>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</si>
  <si>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</si>
  <si>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</si>
  <si>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</si>
  <si>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</si>
  <si>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</si>
  <si>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</si>
  <si>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</si>
  <si>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</si>
  <si>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</si>
  <si>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</si>
  <si>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</si>
  <si>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</si>
  <si>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</si>
  <si>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</si>
  <si>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</si>
  <si>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</si>
  <si>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</si>
  <si>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</si>
  <si>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</si>
  <si>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</si>
  <si>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</si>
  <si>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</si>
  <si>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</si>
  <si>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</si>
  <si>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</si>
  <si>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</si>
  <si>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</si>
  <si>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</si>
  <si>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</si>
  <si>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</si>
  <si>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</si>
  <si>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</si>
  <si>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</si>
  <si>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</si>
  <si>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</si>
  <si>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</si>
  <si>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</si>
  <si>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</si>
  <si>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</si>
  <si>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</si>
  <si>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</si>
  <si>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</si>
  <si>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</si>
  <si>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</si>
  <si>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</si>
  <si>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</si>
  <si>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</si>
  <si>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</si>
  <si>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</si>
  <si>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</si>
  <si>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</si>
  <si>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</si>
  <si>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</si>
  <si>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</si>
  <si>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</si>
  <si>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</si>
  <si>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</si>
  <si>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</si>
  <si>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</si>
  <si>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</si>
  <si>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</si>
  <si>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</si>
  <si>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</si>
  <si>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</si>
  <si>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</si>
  <si>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</si>
  <si>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</si>
  <si>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</si>
  <si>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</si>
  <si>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</si>
  <si>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</si>
  <si>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</si>
  <si>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</si>
  <si>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</si>
  <si>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</si>
  <si>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</si>
  <si>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</si>
  <si>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</si>
  <si>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</si>
  <si>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</si>
  <si>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</si>
  <si>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</si>
  <si>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</si>
  <si>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</si>
  <si>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</si>
  <si>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</si>
  <si>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</si>
  <si>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</si>
  <si>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</si>
  <si>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</si>
  <si>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</si>
  <si>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</si>
  <si>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</si>
  <si>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</si>
  <si>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</si>
  <si>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</si>
  <si>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</si>
  <si>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</si>
  <si>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</si>
  <si>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</si>
  <si>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</si>
  <si>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</si>
  <si>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</si>
  <si>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</si>
  <si>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</si>
  <si>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</si>
  <si>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</si>
  <si>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</si>
  <si>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</si>
  <si>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</si>
  <si>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</si>
  <si>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</si>
  <si>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</si>
  <si>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</si>
  <si>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</si>
  <si>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</si>
  <si>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</si>
  <si>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</si>
  <si>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</si>
  <si>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</si>
  <si>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</si>
  <si>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</si>
  <si>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r>
      <t xml:space="preserve">    </t>
    </r>
    <r>
      <rPr>
        <u/>
        <sz val="11"/>
        <rFont val="Arial MT"/>
      </rPr>
      <t xml:space="preserve"> http://online.wsj.com/mdc/public/page/2_3020-libor.html</t>
    </r>
    <r>
      <rPr>
        <sz val="11"/>
        <rFont val="Arial MT"/>
      </rPr>
      <t xml:space="preserve">         (An equivalent website will be established if this website is no longer available at any time in the future).</t>
    </r>
  </si>
  <si>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</si>
  <si>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</si>
  <si>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</si>
  <si>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</si>
  <si>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</si>
  <si>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</si>
  <si>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</si>
  <si>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</si>
  <si>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</si>
  <si>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</si>
  <si>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</si>
  <si>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</si>
  <si>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</si>
  <si>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</si>
  <si>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</si>
  <si>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</si>
  <si>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</si>
  <si>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</si>
  <si>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</si>
  <si>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</si>
  <si>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</si>
  <si>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</si>
  <si>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</si>
  <si>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</si>
  <si>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</si>
  <si>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</si>
  <si>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</si>
  <si>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</si>
  <si>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</si>
  <si>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</si>
  <si>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</si>
  <si>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</si>
  <si>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</si>
  <si>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</si>
  <si>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</si>
  <si>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</si>
  <si>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</si>
  <si>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</si>
  <si>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</si>
  <si>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</si>
  <si>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</si>
  <si>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</si>
  <si>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</si>
  <si>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</si>
  <si>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</si>
  <si>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</si>
  <si>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</si>
  <si>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</si>
  <si>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</si>
  <si>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</si>
  <si>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</si>
  <si>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</si>
  <si>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</si>
  <si>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</si>
  <si>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</si>
  <si>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</si>
  <si>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</si>
  <si>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</si>
  <si>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</si>
  <si>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</si>
  <si>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</si>
  <si>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</si>
  <si>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</si>
  <si>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</si>
  <si>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</si>
  <si>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</si>
  <si>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</si>
  <si>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</si>
  <si>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</si>
  <si>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</si>
  <si>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</si>
  <si>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</si>
  <si>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</si>
  <si>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</si>
  <si>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</si>
  <si>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</si>
  <si>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</si>
  <si>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</si>
  <si>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</si>
  <si>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</si>
  <si>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</si>
  <si>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</si>
  <si>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</si>
  <si>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</si>
  <si>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</si>
  <si>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</si>
  <si>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</si>
  <si>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</si>
  <si>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</si>
  <si>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</si>
  <si>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</si>
  <si>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</si>
  <si>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</si>
  <si>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</si>
  <si>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</si>
  <si>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</si>
  <si>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Populated with hypothetical data</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</si>
  <si>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</si>
  <si>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</si>
  <si>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</si>
  <si>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</si>
  <si>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</si>
  <si>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</si>
  <si>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</si>
  <si>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</si>
  <si>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</si>
  <si>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</si>
  <si>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</si>
  <si>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</si>
  <si>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</si>
  <si>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</si>
  <si>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</si>
  <si>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</si>
  <si>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</si>
  <si>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</si>
  <si>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</si>
  <si>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</si>
  <si>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</si>
  <si>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</si>
  <si>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</si>
  <si>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</si>
  <si>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</si>
  <si>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</si>
  <si>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</si>
  <si>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</si>
  <si>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</si>
  <si>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</si>
  <si>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</si>
  <si>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</si>
  <si>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</si>
  <si>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</si>
  <si>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</si>
  <si>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</si>
  <si>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</si>
  <si>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</si>
  <si>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</si>
  <si>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</si>
  <si>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</si>
  <si>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</si>
  <si>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</si>
  <si>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</si>
  <si>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</si>
  <si>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</si>
  <si>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</si>
  <si>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</si>
  <si>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</si>
  <si>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</si>
  <si>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</si>
  <si>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</si>
  <si>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</si>
  <si>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</si>
  <si>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Pre-commercial expenses</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</si>
  <si>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</si>
  <si>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</si>
  <si>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</si>
  <si>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</si>
  <si>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</si>
  <si>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</si>
  <si>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</si>
  <si>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</si>
  <si>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</si>
  <si>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</si>
  <si>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</si>
  <si>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</si>
  <si>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</si>
  <si>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</si>
  <si>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</si>
  <si>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</si>
  <si>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</si>
  <si>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</si>
  <si>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</si>
  <si>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</si>
  <si>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</si>
  <si>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</si>
  <si>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</si>
  <si>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</si>
  <si>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</si>
  <si>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</si>
  <si>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</si>
  <si>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</si>
  <si>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</si>
  <si>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</si>
  <si>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</si>
  <si>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</si>
  <si>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</si>
  <si>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</si>
  <si>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</si>
  <si>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</si>
  <si>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</si>
  <si>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</si>
  <si>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</si>
  <si>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</si>
  <si>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</si>
  <si>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</si>
  <si>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</si>
  <si>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</si>
  <si>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</si>
  <si>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</si>
  <si>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</si>
  <si>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</si>
  <si>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</si>
  <si>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</si>
  <si>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</si>
  <si>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</si>
  <si>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</si>
  <si>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</si>
  <si>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</si>
  <si>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</si>
  <si>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</si>
  <si>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</si>
  <si>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</si>
  <si>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</si>
  <si>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</si>
  <si>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</si>
  <si>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</si>
  <si>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</si>
  <si>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</si>
  <si>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</si>
  <si>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</si>
  <si>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</si>
  <si>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</si>
  <si>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</si>
  <si>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</si>
  <si>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</si>
  <si>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</si>
  <si>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</si>
  <si>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</si>
  <si>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</si>
  <si>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</si>
  <si>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</si>
  <si>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</si>
  <si>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</si>
  <si>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</si>
  <si>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</si>
  <si>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</si>
  <si>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</si>
  <si>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</si>
  <si>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</si>
  <si>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</si>
  <si>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</si>
  <si>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</si>
  <si>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</si>
  <si>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</si>
  <si>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</si>
  <si>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</si>
  <si>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</si>
  <si>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</si>
  <si>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</si>
  <si>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2019</t>
  </si>
  <si>
    <t>Year 2021</t>
  </si>
  <si>
    <t>Year 2020</t>
  </si>
  <si>
    <t>2019</t>
  </si>
  <si>
    <t>Docket No. ER14-1661</t>
  </si>
  <si>
    <t>Deferred Tax Liability on Pre-Commercial Regulatory Asset</t>
  </si>
  <si>
    <t>2020</t>
  </si>
  <si>
    <t>Abandoned plant</t>
  </si>
  <si>
    <t>2021</t>
  </si>
  <si>
    <t>Gates-Gregg Project</t>
  </si>
  <si>
    <t>Outside Services Employed</t>
  </si>
  <si>
    <t>Pre-commercial expenses regulatory asset amortization</t>
  </si>
  <si>
    <t>True-up of transmission revenue deferred for tax purposes</t>
  </si>
  <si>
    <t>ER19-1384</t>
  </si>
  <si>
    <t>60 months</t>
  </si>
  <si>
    <t>Central Valley Power Connect unamortized regulatory asset balance</t>
  </si>
  <si>
    <t>Central Valley Power Connect unamortized abandoned plant balance</t>
  </si>
  <si>
    <t>Central Valley Power Connect CWIP balance</t>
  </si>
  <si>
    <t>Central Valley Power Connect plant-in-service balance</t>
  </si>
  <si>
    <t>Central Valley Power Connect</t>
  </si>
  <si>
    <t>ER19-2314-000</t>
  </si>
  <si>
    <t>(Attachment 6d)</t>
  </si>
  <si>
    <t>Attachment 6c - Accumulated Excess/Deficient Deferred Income Taxes ("EDIT")</t>
  </si>
  <si>
    <t>Page 1 of 1</t>
  </si>
  <si>
    <t>BOY Balance
Dr./(Cr.)
 (Note A)</t>
  </si>
  <si>
    <t>Current Period Amortization Expense (Benefit)</t>
  </si>
  <si>
    <t>Current Period Other Activity
Dr./(Cr.)
(Note B)</t>
  </si>
  <si>
    <t>EOY Balance
Dr./(Cr.)
 (Note A)</t>
  </si>
  <si>
    <t>Amort Period or Method</t>
  </si>
  <si>
    <t>Explanation</t>
  </si>
  <si>
    <t xml:space="preserve">Total EDIT - Account 190 </t>
  </si>
  <si>
    <t>Total EDIT - Account 283</t>
  </si>
  <si>
    <t>Total EDIT - Account 282</t>
  </si>
  <si>
    <t>Total (Excess)/Deficient Deferred Income Taxes</t>
  </si>
  <si>
    <t>Includes the impact of tax rate changes enacted during the period and adjustments to prior year activity.</t>
  </si>
  <si>
    <t>Proration Used for Projected Revenue Requirement Calculation</t>
  </si>
  <si>
    <t>Proration Used for True-up Revenue Requirement Calculation</t>
  </si>
  <si>
    <t>Account 190</t>
  </si>
  <si>
    <t>Days in Period</t>
  </si>
  <si>
    <t>Projection - Proration of Deferred Tax Activity</t>
  </si>
  <si>
    <t>True-up Adjustment - Proration of Projected Deferred Tax Activity and Averaging of Other Deferred Tax Activity</t>
  </si>
  <si>
    <t>(c )</t>
  </si>
  <si>
    <t>Month</t>
  </si>
  <si>
    <t>Days in the Month</t>
  </si>
  <si>
    <t xml:space="preserve">Number of Days Remaining in Year After Month's Accrual of Deferred Taxes </t>
  </si>
  <si>
    <t>Total Days in Future Portion of Test Period (Line 18, Col B)</t>
  </si>
  <si>
    <t>Proration Amount (Lines 6 to 17, Col c / Col d)</t>
  </si>
  <si>
    <t xml:space="preserve">Projected Monthly Activity </t>
  </si>
  <si>
    <t>Prorated Projected Monthly Activity (Lines 6 to 17, Col e x Col f)</t>
  </si>
  <si>
    <t>Prorated Projected Balance (Line 5, Col h plus Cumulative Sum of Col g)</t>
  </si>
  <si>
    <t>Actual Monthly Activity ((Line 24 Col n - Line 21 Col n)/12) (See Note 6.)</t>
  </si>
  <si>
    <t>Difference between projected monthly and actual monthly activity  
(See Note 1.)</t>
  </si>
  <si>
    <t>Preserve proration when actual monthly and projected monthly activity are either both increases or decreases.  
(See Note 2.)</t>
  </si>
  <si>
    <t>Difference between projected and actual activity when actual and projected activity are either both increases or decreases.  
(See Note 3.)</t>
  </si>
  <si>
    <t>Actual activity (Col i) when projected activity is an increase while actual activity is a decrease OR projected activity is a decrease while actual activity is an increase.
(See Note 4.)</t>
  </si>
  <si>
    <t>Balance reflecting proration or averaging (See Note 5.)</t>
  </si>
  <si>
    <t>December 31st</t>
  </si>
  <si>
    <t>Beginning Balance-ADIT Total</t>
  </si>
  <si>
    <t>Worksheet 6a</t>
  </si>
  <si>
    <t>Beginning Balance-EDIT Total</t>
  </si>
  <si>
    <t>Worksheet 6c</t>
  </si>
  <si>
    <t>Beginning Balance-Combined ADIT &amp; EDIT</t>
  </si>
  <si>
    <t>Ending Balance-ADIT Total</t>
  </si>
  <si>
    <t>Worksheet 6b</t>
  </si>
  <si>
    <t>Ending Balance- EDIT Total</t>
  </si>
  <si>
    <t>Ending Balance-Combined ADIT &amp; EDIT</t>
  </si>
  <si>
    <t>Prorated ADIT - Account 190</t>
  </si>
  <si>
    <t>(Line 17)</t>
  </si>
  <si>
    <t>Account 282</t>
  </si>
  <si>
    <t>Total Days in Future Portion of Test Period (Line 45, Col B)</t>
  </si>
  <si>
    <t>Proration Amount (Lines 33 to 44, Col c / Col d)</t>
  </si>
  <si>
    <t>Projected Monthly Activity</t>
  </si>
  <si>
    <t>Prorated Projected Monthly Activity (Lines 33 to 44, Col e x Col f)</t>
  </si>
  <si>
    <t>Prorated Projected Balance (Line 32, Col h plus Cumulative Sum of Col g)</t>
  </si>
  <si>
    <t>Actual Monthly Activity ((Line 51 Col n - Line 48 Col n)/12) (See Note 6.)</t>
  </si>
  <si>
    <t>Total (sum of lines 33-44)</t>
  </si>
  <si>
    <t>Prorated ADIT - Account 282</t>
  </si>
  <si>
    <t>(Line 44)</t>
  </si>
  <si>
    <t>Account 283</t>
  </si>
  <si>
    <t>Total Days in Future Portion of Test Period (Line 72, Col B)</t>
  </si>
  <si>
    <t>Proration Amount (Lines 60 to 71, Col c / Col d)</t>
  </si>
  <si>
    <t>Prorated Projected Monthly Activity (Lines 60 to 71, Col e x Col f)</t>
  </si>
  <si>
    <t>Prorated Projected Balance (Line 59, Col h plus Cumulative Sum of Col g)</t>
  </si>
  <si>
    <t>Actual Monthly Activity ((Line 78 Col n - Line 75 Col n)/12) (See Note 6.)</t>
  </si>
  <si>
    <t>Total (sum of Lines 60 - 71)</t>
  </si>
  <si>
    <t>Prorated ADIT - Account 283</t>
  </si>
  <si>
    <t>(Line 71)</t>
  </si>
  <si>
    <t>Total Prorated ADIT - Accounts 190, 282 &amp; 283</t>
  </si>
  <si>
    <t>(Lines 27+54+81)</t>
  </si>
  <si>
    <t>NOTES</t>
  </si>
  <si>
    <t xml:space="preserve">1)  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</si>
  <si>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2)  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t>
  </si>
  <si>
    <t>3)  Column L applies when (1) Column J is under-projected AND (2) actual monthly and projected monthly activity are either both increases or decreases.  Enter the amount from Column J.  In other situations, enter zero.</t>
  </si>
  <si>
    <t xml:space="preserve">4)  Column M applies when (1) projected monthly activity is an increase while actual monthly activity is a decrease OR (2) projected monthly activity is a decrease while actual monthly activity is an increase.  Enter actual monthly activity (Col I).  In other situations, enter zero. </t>
  </si>
  <si>
    <t>5)  Column N is computed by adding the prorated monthly activity, if any, from Column K to 50 percent of the portion of monthly activity, if any, from Column L or M to the balance at the end of the prior month.  The activity in columns L and M is multiplied by 50 percent to reflect averaging of rate base to the extent that the proration requirement has not been applied to a portion of the monthly activity.</t>
  </si>
  <si>
    <t>6) Actual monthly activity is computed based on the annual activity for the period, divided by 12 months.</t>
  </si>
  <si>
    <t>Attachment 6d - Prorated Accumulated Deferred Income Taxes ("ADIT") Worksheet</t>
  </si>
  <si>
    <t>Total 
(sum of Lines 6 -17)</t>
  </si>
  <si>
    <t>59a</t>
  </si>
  <si>
    <t>(Excess)/Deficient Deferred Income Taxes</t>
  </si>
  <si>
    <t>R</t>
  </si>
  <si>
    <t>Includes the amortization of any excess/deficient income taxes resulting from changes to income tax rates (including changes in apportionment) and other actions take by a taxing authority.  Excess and deficient deferred income taxes will reduce or increase tax expense by the amount of the excess or deficiency multiplied by (1/1-T)</t>
  </si>
  <si>
    <t>(Excess)/Deficient Deferred Income Tax Adjustment</t>
  </si>
  <si>
    <t>(line 58 * line 59a)</t>
  </si>
  <si>
    <t>Projection template used for True-up, Column O source for Projection</t>
  </si>
  <si>
    <t>Total Rate Base Adjustment to Appendix III</t>
  </si>
  <si>
    <t>BOY Cumulative Amortization</t>
  </si>
  <si>
    <t xml:space="preserve"> BOY Cumulative Other Adjustments
(Note B)</t>
  </si>
  <si>
    <t>Grossed-up EOY amount recorded to Account 182.3</t>
  </si>
  <si>
    <t>Grossed-up EOY amount recorded to Account 254</t>
  </si>
  <si>
    <t>Expense Account Amortization recorded to</t>
  </si>
  <si>
    <t>190 NON-PLANT and NOL  (EXCESS) DEFICIENT DEFERRED INCOME TAXES</t>
  </si>
  <si>
    <t>283 NON-PLANT (EXCESS) DEFICIENT DEFERRED INCOME TAXES</t>
  </si>
  <si>
    <t xml:space="preserve">281 &amp; 282 PLANT (EXCESS) DEFICIENT DEFERRED INCOME TAXES </t>
  </si>
  <si>
    <t>Deferred Tax Liability on Construction Work In Progress Write Offs to Regulatory Assets</t>
  </si>
  <si>
    <t>Deferred Tax Liability on Annual Transmission Revenue Requirement</t>
  </si>
  <si>
    <t>For the 12 months ended 12/31/2020, Excess Deferred Update</t>
  </si>
  <si>
    <t>ER19-2314</t>
  </si>
  <si>
    <t>Facilities</t>
  </si>
  <si>
    <t>Tax</t>
  </si>
  <si>
    <t>Corp Legal &amp; Accting</t>
  </si>
  <si>
    <t>Admin</t>
  </si>
  <si>
    <t>MidAmerican Energy</t>
  </si>
  <si>
    <t>BHE U.S. Transmission</t>
  </si>
  <si>
    <t>Berkshire Hathaway Energy Company</t>
  </si>
  <si>
    <t xml:space="preserve">  Prorated ADIT - not Directly related to Project Depreciation or CWIP</t>
  </si>
  <si>
    <t>Includes only balances that have been previously included in revenue that had a tax rate different than the current tax rate</t>
  </si>
  <si>
    <t>61a</t>
  </si>
  <si>
    <t>(Attachment 6c) (Note R)</t>
  </si>
  <si>
    <t>Carrying charges on pre-commercial costs not recognized for tax purposes</t>
  </si>
  <si>
    <t>CWIP write off not recognized for tax purposes</t>
  </si>
  <si>
    <t>Page 1 of 2</t>
  </si>
  <si>
    <t>Page 2 of 2</t>
  </si>
  <si>
    <t>6c</t>
  </si>
  <si>
    <t>6d</t>
  </si>
  <si>
    <t>Accumulated Excess/Deficient Income Taxes</t>
  </si>
  <si>
    <t>Prorated ADIT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</si>
</sst>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 numFmtId="186" formatCode="mm/dd/yy;@"/>
    <numFmt numFmtId="187" formatCode="&quot;$&quot;#,##0.0"/>
  </numFmts>
  <fonts count="145">
    <font>
      <sz val="12"/>
      <name val="Arial MT"/>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u/>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
      <sz val="10"/>
      <color rgb="FFFF0000"/>
      <name val="Times New Roman"/>
      <family val="1"/>
    </font>
    <font>
      <sz val="12"/>
      <color rgb="FFFF0000"/>
      <name val="Arial"/>
      <family val="2"/>
    </font>
    <font>
      <u/>
      <sz val="10"/>
      <name val="Times New Roman"/>
      <family val="1"/>
    </font>
    <font>
      <b/>
      <sz val="10"/>
      <color theme="3" tint="-0.249977111117893"/>
      <name val="Times New Roman"/>
      <family val="1"/>
    </font>
    <font>
      <sz val="10"/>
      <color theme="3" tint="-0.249977111117893"/>
      <name val="Times New Roman"/>
      <family val="1"/>
    </font>
    <font>
      <sz val="10"/>
      <color theme="1"/>
      <name val="Times New Roman"/>
      <family val="1"/>
    </font>
    <font>
      <b/>
      <sz val="12"/>
      <color indexed="81"/>
      <name val="Tahoma"/>
      <family val="2"/>
    </font>
    <font>
      <b/>
      <sz val="9"/>
      <color indexed="81"/>
      <name val="Tahoma"/>
      <family val="2"/>
    </font>
    <font>
      <sz val="9"/>
      <color indexed="81"/>
      <name val="Tahoma"/>
      <family val="2"/>
    </font>
    <font>
      <sz val="12"/>
      <color theme="3" tint="-0.249977111117893"/>
      <name val="Arial MT"/>
    </font>
    <font>
      <sz val="10"/>
      <color theme="3" tint="-0.249977111117893"/>
      <name val="Arial"/>
      <family val="2"/>
    </font>
    <font>
      <b/>
      <sz val="10"/>
      <color theme="3" tint="-0.249977111117893"/>
      <name val="Arial"/>
      <family val="2"/>
    </font>
    <font>
      <sz val="14"/>
      <color theme="4" tint="-0.499984740745262"/>
      <name val="Arial MT"/>
    </font>
    <font>
      <sz val="14"/>
      <color theme="4" tint="-0.499984740745262"/>
      <name val="Arial Narrow"/>
      <family val="2"/>
    </font>
    <font>
      <sz val="12"/>
      <color theme="4" tint="-0.499984740745262"/>
      <name val="Arial"/>
      <family val="2"/>
    </font>
    <font>
      <sz val="12"/>
      <color theme="4" tint="-0.499984740745262"/>
      <name val="Arial MT"/>
    </font>
    <font>
      <strike/>
      <sz val="14"/>
      <color rgb="FFFF0000"/>
      <name val="Cambria"/>
      <family val="1"/>
    </font>
    <font>
      <strike/>
      <sz val="12"/>
      <color rgb="FFFF0000"/>
      <name val="Cambria"/>
      <family val="1"/>
    </font>
    <font>
      <strike/>
      <sz val="10"/>
      <name val="Times New Roman"/>
      <family val="1"/>
    </font>
    <font>
      <i/>
      <sz val="10"/>
      <name val="Times New Roman"/>
      <family val="1"/>
    </font>
  </fonts>
  <fills count="18">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33">
    <xf numFmtId="172" fontId="0" fillId="0" borderId="0" applyProtection="0"/>
    <xf numFmtId="172" fontId="2" fillId="0" borderId="0" applyFill="0"/>
    <xf numFmtId="172" fontId="2" fillId="0" borderId="0">
      <alignment horizontal="center"/>
    </xf>
    <xf numFmtId="0" fontId="2" fillId="0" borderId="0" applyFill="0">
      <alignment horizontal="center"/>
    </xf>
    <xf numFmtId="172" fontId="3" fillId="0" borderId="1" applyFill="0"/>
    <xf numFmtId="0" fontId="4" fillId="0" borderId="0" applyFont="0" applyAlignment="0"/>
    <xf numFmtId="0" fontId="5" fillId="0" borderId="0" applyFill="0">
      <alignment vertical="top"/>
    </xf>
    <xf numFmtId="0" fontId="3" fillId="0" borderId="0" applyFill="0">
      <alignment horizontal="left" vertical="top"/>
    </xf>
    <xf numFmtId="172" fontId="6" fillId="0" borderId="2" applyFill="0"/>
    <xf numFmtId="0" fontId="4" fillId="0" borderId="0" applyNumberFormat="0" applyFont="0" applyAlignment="0"/>
    <xf numFmtId="0" fontId="5" fillId="0" borderId="0" applyFill="0">
      <alignment wrapText="1"/>
    </xf>
    <xf numFmtId="0" fontId="3" fillId="0" borderId="0" applyFill="0">
      <alignment horizontal="left" vertical="top" wrapText="1"/>
    </xf>
    <xf numFmtId="172"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72" fontId="4"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72"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72"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72"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4" fillId="0" borderId="0" applyFont="0" applyFill="0" applyBorder="0" applyAlignment="0" applyProtection="0"/>
    <xf numFmtId="41"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5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applyFont="0" applyFill="0" applyBorder="0" applyAlignment="0" applyProtection="0"/>
    <xf numFmtId="0" fontId="4" fillId="0" borderId="3"/>
    <xf numFmtId="44" fontId="4" fillId="0" borderId="0" applyFont="0" applyFill="0" applyBorder="0" applyAlignment="0" applyProtection="0"/>
    <xf numFmtId="44" fontId="14" fillId="0" borderId="0" applyFont="0" applyFill="0" applyBorder="0" applyAlignment="0" applyProtection="0"/>
    <xf numFmtId="44" fontId="4" fillId="0" borderId="0" applyFont="0" applyFill="0" applyBorder="0" applyAlignment="0" applyProtection="0"/>
    <xf numFmtId="44" fontId="56"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4"/>
    <xf numFmtId="0" fontId="23" fillId="0" borderId="0"/>
    <xf numFmtId="0" fontId="4" fillId="0" borderId="0"/>
    <xf numFmtId="0" fontId="14" fillId="0" borderId="0"/>
    <xf numFmtId="0" fontId="4" fillId="0" borderId="0"/>
    <xf numFmtId="0" fontId="4" fillId="0" borderId="0"/>
    <xf numFmtId="0" fontId="56" fillId="0" borderId="0"/>
    <xf numFmtId="0" fontId="4" fillId="0" borderId="0"/>
    <xf numFmtId="172" fontId="24" fillId="0" borderId="0" applyProtection="0"/>
    <xf numFmtId="0" fontId="24" fillId="0" borderId="0" applyProtection="0"/>
    <xf numFmtId="0" fontId="4" fillId="0" borderId="0"/>
    <xf numFmtId="172" fontId="24" fillId="0" borderId="0" applyProtection="0"/>
    <xf numFmtId="0" fontId="4" fillId="0" borderId="0"/>
    <xf numFmtId="9" fontId="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5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4" fillId="0" borderId="0">
      <alignment horizontal="left" vertical="top"/>
    </xf>
    <xf numFmtId="0" fontId="26" fillId="0" borderId="4">
      <alignment horizontal="center"/>
    </xf>
    <xf numFmtId="3" fontId="25" fillId="0" borderId="0" applyFont="0" applyFill="0" applyBorder="0" applyAlignment="0" applyProtection="0"/>
    <xf numFmtId="0" fontId="25" fillId="2" borderId="0" applyNumberFormat="0" applyFont="0" applyBorder="0" applyAlignment="0" applyProtection="0"/>
    <xf numFmtId="3" fontId="4" fillId="0" borderId="0">
      <alignment horizontal="right" vertical="top"/>
    </xf>
    <xf numFmtId="41" fontId="11" fillId="3" borderId="5" applyFill="0"/>
    <xf numFmtId="0" fontId="27" fillId="0" borderId="0">
      <alignment horizontal="left" indent="7"/>
    </xf>
    <xf numFmtId="41" fontId="11" fillId="0" borderId="5" applyFill="0">
      <alignment horizontal="left" indent="2"/>
    </xf>
    <xf numFmtId="172" fontId="28" fillId="0" borderId="6" applyFill="0">
      <alignment horizontal="right"/>
    </xf>
    <xf numFmtId="0" fontId="29" fillId="0" borderId="7" applyNumberFormat="0" applyFont="0" applyBorder="0">
      <alignment horizontal="right"/>
    </xf>
    <xf numFmtId="0" fontId="30" fillId="0" borderId="0" applyFill="0"/>
    <xf numFmtId="0" fontId="6" fillId="0" borderId="0" applyFill="0"/>
    <xf numFmtId="4" fontId="28" fillId="0" borderId="6" applyFill="0"/>
    <xf numFmtId="0" fontId="4" fillId="0" borderId="0" applyNumberFormat="0" applyFont="0" applyBorder="0" applyAlignment="0"/>
    <xf numFmtId="0" fontId="9" fillId="0" borderId="0" applyFill="0">
      <alignment horizontal="left" indent="1"/>
    </xf>
    <xf numFmtId="0" fontId="31" fillId="0" borderId="0" applyFill="0">
      <alignment horizontal="left" indent="1"/>
    </xf>
    <xf numFmtId="4" fontId="12" fillId="0" borderId="0" applyFill="0"/>
    <xf numFmtId="0" fontId="4"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4" fillId="0" borderId="0" applyNumberFormat="0" applyFont="0" applyBorder="0" applyAlignment="0"/>
    <xf numFmtId="0" fontId="32" fillId="0" borderId="0">
      <alignment horizontal="left" indent="3"/>
    </xf>
    <xf numFmtId="0" fontId="33" fillId="0" borderId="0" applyFill="0">
      <alignment horizontal="left" indent="3"/>
    </xf>
    <xf numFmtId="4" fontId="12" fillId="0" borderId="0" applyFill="0"/>
    <xf numFmtId="0" fontId="4"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4"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4"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3" fillId="4" borderId="0"/>
    <xf numFmtId="0" fontId="4" fillId="3" borderId="3" applyNumberFormat="0" applyFont="0" applyAlignment="0"/>
    <xf numFmtId="0" fontId="4" fillId="0" borderId="0" applyFont="0" applyFill="0" applyBorder="0" applyAlignment="0" applyProtection="0"/>
    <xf numFmtId="43" fontId="24" fillId="0" borderId="0" applyFont="0" applyFill="0" applyBorder="0" applyAlignment="0" applyProtection="0"/>
    <xf numFmtId="172" fontId="24" fillId="0" borderId="0" applyProtection="0"/>
    <xf numFmtId="0" fontId="89" fillId="0" borderId="0"/>
    <xf numFmtId="43" fontId="89" fillId="0" borderId="0" applyFont="0" applyFill="0" applyBorder="0" applyAlignment="0" applyProtection="0"/>
    <xf numFmtId="172" fontId="105" fillId="0" borderId="0" applyNumberFormat="0" applyFill="0" applyBorder="0" applyAlignment="0" applyProtection="0"/>
    <xf numFmtId="0" fontId="4" fillId="0" borderId="0" applyFill="0">
      <alignment horizontal="center" vertical="center" wrapText="1"/>
    </xf>
    <xf numFmtId="0" fontId="6" fillId="0" borderId="0" applyFont="0" applyFill="0" applyBorder="0" applyAlignment="0" applyProtection="0"/>
    <xf numFmtId="0" fontId="4" fillId="0" borderId="0" applyFill="0">
      <alignment horizontal="left" indent="4"/>
    </xf>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4" fillId="0" borderId="0"/>
    <xf numFmtId="43" fontId="24" fillId="0" borderId="0" applyFont="0" applyFill="0" applyBorder="0" applyAlignment="0" applyProtection="0"/>
    <xf numFmtId="0" fontId="1" fillId="0" borderId="0"/>
    <xf numFmtId="172" fontId="24" fillId="0" borderId="0" applyProtection="0"/>
    <xf numFmtId="172" fontId="24" fillId="0" borderId="0" applyProtection="0"/>
    <xf numFmtId="0" fontId="1" fillId="0" borderId="0"/>
    <xf numFmtId="172" fontId="24" fillId="0" borderId="0" applyProtection="0"/>
  </cellStyleXfs>
  <cellXfs count="1779">
    <xf numFmtId="172" fontId="0" fillId="0" borderId="0" xfId="0" applyAlignment="1"/>
    <xf numFmtId="0" fontId="24" fillId="0" borderId="0" xfId="60" applyAlignment="1"/>
    <xf numFmtId="0" fontId="11" fillId="0" borderId="0" xfId="60" applyNumberFormat="1" applyFont="1" applyAlignment="1" applyProtection="1">
      <protection locked="0"/>
    </xf>
    <xf numFmtId="0" fontId="11" fillId="0" borderId="0" xfId="60" applyNumberFormat="1" applyFont="1" applyAlignment="1" applyProtection="1">
      <alignment horizontal="left"/>
      <protection locked="0"/>
    </xf>
    <xf numFmtId="0" fontId="11" fillId="0" borderId="0" xfId="60" applyNumberFormat="1" applyFont="1" applyAlignment="1" applyProtection="1">
      <alignment horizontal="center"/>
      <protection locked="0"/>
    </xf>
    <xf numFmtId="0" fontId="11" fillId="0" borderId="0" xfId="60" applyNumberFormat="1" applyFont="1" applyAlignment="1" applyProtection="1">
      <alignment horizontal="right"/>
      <protection locked="0"/>
    </xf>
    <xf numFmtId="0" fontId="24" fillId="0" borderId="0" xfId="60" applyNumberFormat="1" applyFont="1"/>
    <xf numFmtId="0" fontId="24" fillId="0" borderId="0" xfId="60" applyFont="1" applyAlignment="1"/>
    <xf numFmtId="0" fontId="11" fillId="0" borderId="0" xfId="60" applyNumberFormat="1" applyFont="1" applyProtection="1">
      <protection locked="0"/>
    </xf>
    <xf numFmtId="0" fontId="11" fillId="0" borderId="0" xfId="60" applyNumberFormat="1" applyFont="1" applyAlignment="1">
      <alignment horizontal="right"/>
    </xf>
    <xf numFmtId="0" fontId="11" fillId="0" borderId="0" xfId="60" applyNumberFormat="1" applyFont="1"/>
    <xf numFmtId="3" fontId="11" fillId="0" borderId="0" xfId="60" applyNumberFormat="1" applyFont="1" applyAlignment="1"/>
    <xf numFmtId="0" fontId="24" fillId="0" borderId="0" xfId="60" applyNumberFormat="1" applyAlignment="1" applyProtection="1">
      <alignment horizontal="center"/>
      <protection locked="0"/>
    </xf>
    <xf numFmtId="49" fontId="11" fillId="0" borderId="0" xfId="60" quotePrefix="1" applyNumberFormat="1" applyFont="1" applyAlignment="1">
      <alignment horizontal="center"/>
    </xf>
    <xf numFmtId="49" fontId="11" fillId="0" borderId="0" xfId="60" applyNumberFormat="1" applyFont="1"/>
    <xf numFmtId="0" fontId="24" fillId="0" borderId="4" xfId="60" applyNumberFormat="1" applyBorder="1" applyAlignment="1" applyProtection="1">
      <alignment horizontal="center"/>
      <protection locked="0"/>
    </xf>
    <xf numFmtId="0" fontId="11" fillId="0" borderId="4" xfId="60" applyNumberFormat="1" applyFont="1" applyBorder="1" applyAlignment="1" applyProtection="1">
      <alignment horizontal="center"/>
      <protection locked="0"/>
    </xf>
    <xf numFmtId="3" fontId="11" fillId="0" borderId="0" xfId="60" applyNumberFormat="1" applyFont="1"/>
    <xf numFmtId="0" fontId="11" fillId="0" borderId="0" xfId="60" applyNumberFormat="1" applyFont="1" applyAlignment="1"/>
    <xf numFmtId="3" fontId="11" fillId="0" borderId="0" xfId="60" applyNumberFormat="1" applyFont="1" applyFill="1" applyAlignment="1"/>
    <xf numFmtId="0" fontId="11" fillId="0" borderId="4" xfId="60" applyNumberFormat="1" applyFont="1" applyBorder="1" applyAlignment="1" applyProtection="1">
      <alignment horizontal="centerContinuous"/>
      <protection locked="0"/>
    </xf>
    <xf numFmtId="166" fontId="11" fillId="0" borderId="0" xfId="60" applyNumberFormat="1" applyFont="1" applyAlignment="1"/>
    <xf numFmtId="0" fontId="35" fillId="0" borderId="0" xfId="60" applyNumberFormat="1" applyFont="1" applyAlignment="1">
      <alignment horizontal="left"/>
    </xf>
    <xf numFmtId="3" fontId="11" fillId="0" borderId="0" xfId="60" applyNumberFormat="1" applyFont="1" applyFill="1" applyBorder="1"/>
    <xf numFmtId="3" fontId="11" fillId="0" borderId="4" xfId="60" applyNumberFormat="1" applyFont="1" applyBorder="1" applyAlignment="1"/>
    <xf numFmtId="3" fontId="11" fillId="0" borderId="0" xfId="60" applyNumberFormat="1" applyFont="1" applyAlignment="1">
      <alignment horizontal="fill"/>
    </xf>
    <xf numFmtId="0" fontId="11" fillId="0" borderId="0" xfId="60" applyFont="1" applyAlignment="1"/>
    <xf numFmtId="42" fontId="11" fillId="0" borderId="8" xfId="60" applyNumberFormat="1" applyFont="1" applyBorder="1" applyAlignment="1" applyProtection="1">
      <alignment horizontal="right"/>
      <protection locked="0"/>
    </xf>
    <xf numFmtId="0" fontId="11" fillId="0" borderId="0" xfId="60" applyNumberFormat="1" applyFont="1" applyFill="1" applyProtection="1">
      <protection locked="0"/>
    </xf>
    <xf numFmtId="0" fontId="11" fillId="0" borderId="0" xfId="60" applyNumberFormat="1" applyFont="1" applyAlignment="1">
      <alignment horizontal="left"/>
    </xf>
    <xf numFmtId="3" fontId="24" fillId="0" borderId="0" xfId="60" applyNumberFormat="1" applyFont="1" applyAlignment="1"/>
    <xf numFmtId="0" fontId="24" fillId="0" borderId="0" xfId="60" applyNumberFormat="1" applyFont="1" applyAlignment="1"/>
    <xf numFmtId="0" fontId="11" fillId="0" borderId="0" xfId="60" applyNumberFormat="1" applyFont="1" applyAlignment="1">
      <alignment horizontal="center"/>
    </xf>
    <xf numFmtId="49" fontId="11" fillId="0" borderId="0" xfId="60" applyNumberFormat="1" applyFont="1" applyAlignment="1">
      <alignment horizontal="left"/>
    </xf>
    <xf numFmtId="49" fontId="11" fillId="0" borderId="0" xfId="60" applyNumberFormat="1" applyFont="1" applyAlignment="1">
      <alignment horizontal="center"/>
    </xf>
    <xf numFmtId="3" fontId="6" fillId="0" borderId="0" xfId="60" applyNumberFormat="1" applyFont="1" applyAlignment="1">
      <alignment horizontal="center"/>
    </xf>
    <xf numFmtId="0" fontId="6" fillId="0" borderId="0" xfId="60" applyNumberFormat="1" applyFont="1" applyAlignment="1" applyProtection="1">
      <alignment horizontal="center"/>
      <protection locked="0"/>
    </xf>
    <xf numFmtId="0" fontId="6" fillId="0" borderId="0" xfId="60" applyFont="1" applyAlignment="1">
      <alignment horizontal="center"/>
    </xf>
    <xf numFmtId="3" fontId="6" fillId="0" borderId="0" xfId="60" applyNumberFormat="1" applyFont="1" applyAlignment="1"/>
    <xf numFmtId="0" fontId="33" fillId="0" borderId="0" xfId="60" applyNumberFormat="1" applyFont="1" applyAlignment="1" applyProtection="1">
      <alignment horizontal="center"/>
      <protection locked="0"/>
    </xf>
    <xf numFmtId="0" fontId="6" fillId="0" borderId="0" xfId="60" applyNumberFormat="1" applyFont="1" applyAlignment="1"/>
    <xf numFmtId="0" fontId="35" fillId="0" borderId="0" xfId="60" quotePrefix="1" applyNumberFormat="1" applyFont="1" applyAlignment="1">
      <alignment horizontal="left"/>
    </xf>
    <xf numFmtId="164" fontId="11" fillId="0" borderId="0" xfId="60" applyNumberFormat="1" applyFont="1" applyAlignment="1">
      <alignment horizontal="center"/>
    </xf>
    <xf numFmtId="165" fontId="11" fillId="0" borderId="0" xfId="60" applyNumberFormat="1" applyFont="1" applyFill="1" applyAlignment="1">
      <alignment horizontal="right"/>
    </xf>
    <xf numFmtId="0" fontId="34" fillId="0" borderId="0" xfId="60" quotePrefix="1" applyNumberFormat="1" applyFont="1" applyAlignment="1">
      <alignment horizontal="left"/>
    </xf>
    <xf numFmtId="0" fontId="24" fillId="0" borderId="0" xfId="60" applyNumberFormat="1" applyProtection="1">
      <protection locked="0"/>
    </xf>
    <xf numFmtId="0" fontId="36" fillId="0" borderId="0" xfId="60" applyNumberFormat="1" applyFont="1" applyAlignment="1">
      <alignment horizontal="center"/>
    </xf>
    <xf numFmtId="3" fontId="36" fillId="0" borderId="0" xfId="60" applyNumberFormat="1" applyFont="1" applyAlignment="1"/>
    <xf numFmtId="0" fontId="6" fillId="0" borderId="0" xfId="60" applyNumberFormat="1" applyFont="1" applyAlignment="1">
      <alignment horizontal="center"/>
    </xf>
    <xf numFmtId="3" fontId="35" fillId="0" borderId="0" xfId="60" quotePrefix="1" applyNumberFormat="1" applyFont="1" applyAlignment="1">
      <alignment horizontal="left"/>
    </xf>
    <xf numFmtId="0" fontId="11" fillId="0" borderId="0" xfId="60" applyNumberFormat="1" applyFont="1" applyFill="1" applyAlignment="1"/>
    <xf numFmtId="171" fontId="11" fillId="0" borderId="0" xfId="60" applyNumberFormat="1" applyFont="1" applyFill="1" applyAlignment="1">
      <alignment horizontal="left"/>
    </xf>
    <xf numFmtId="3" fontId="11" fillId="0" borderId="0" xfId="0" applyNumberFormat="1" applyFont="1" applyAlignment="1"/>
    <xf numFmtId="3" fontId="37" fillId="0" borderId="0" xfId="0" applyNumberFormat="1" applyFont="1" applyAlignment="1"/>
    <xf numFmtId="3" fontId="24" fillId="0" borderId="0" xfId="60" applyNumberFormat="1" applyFont="1" applyFill="1" applyAlignment="1"/>
    <xf numFmtId="166" fontId="11" fillId="0" borderId="0" xfId="60" applyNumberFormat="1" applyFont="1" applyAlignment="1">
      <alignment horizontal="center"/>
    </xf>
    <xf numFmtId="164" fontId="11" fillId="0" borderId="0" xfId="60" applyNumberFormat="1" applyFont="1" applyAlignment="1">
      <alignment horizontal="left"/>
    </xf>
    <xf numFmtId="10" fontId="11" fillId="0" borderId="0" xfId="60" applyNumberFormat="1" applyFont="1" applyAlignment="1">
      <alignment horizontal="left"/>
    </xf>
    <xf numFmtId="3" fontId="11" fillId="0" borderId="4" xfId="60" applyNumberFormat="1" applyFont="1" applyFill="1" applyBorder="1" applyAlignment="1"/>
    <xf numFmtId="164" fontId="11" fillId="0" borderId="0" xfId="60" applyNumberFormat="1" applyFont="1" applyAlignment="1" applyProtection="1">
      <alignment horizontal="left"/>
      <protection locked="0"/>
    </xf>
    <xf numFmtId="3" fontId="11" fillId="0" borderId="0" xfId="60" applyNumberFormat="1" applyFont="1" applyFill="1" applyAlignment="1">
      <alignment horizontal="right"/>
    </xf>
    <xf numFmtId="167" fontId="11" fillId="0" borderId="0" xfId="60" applyNumberFormat="1" applyFont="1" applyAlignment="1"/>
    <xf numFmtId="0" fontId="11" fillId="0" borderId="0" xfId="60" applyFont="1" applyFill="1" applyAlignment="1"/>
    <xf numFmtId="0" fontId="38" fillId="0" borderId="0" xfId="60" applyFont="1" applyAlignment="1"/>
    <xf numFmtId="0" fontId="34" fillId="0" borderId="0" xfId="60" applyFont="1" applyAlignment="1">
      <alignment horizontal="left" indent="1"/>
    </xf>
    <xf numFmtId="0" fontId="11" fillId="0" borderId="0" xfId="60" applyNumberFormat="1" applyFont="1" applyFill="1" applyAlignment="1" applyProtection="1">
      <protection locked="0"/>
    </xf>
    <xf numFmtId="0" fontId="11" fillId="0" borderId="0" xfId="60" applyNumberFormat="1" applyFont="1" applyFill="1"/>
    <xf numFmtId="0" fontId="24" fillId="0" borderId="0" xfId="60" applyFill="1" applyAlignment="1"/>
    <xf numFmtId="0" fontId="24" fillId="0" borderId="0" xfId="60" applyFill="1" applyAlignment="1">
      <alignment horizontal="right"/>
    </xf>
    <xf numFmtId="3" fontId="24" fillId="0" borderId="0" xfId="60" applyNumberFormat="1" applyFont="1" applyFill="1" applyAlignment="1">
      <alignment horizontal="right"/>
    </xf>
    <xf numFmtId="0" fontId="24" fillId="0" borderId="0" xfId="60" applyNumberFormat="1" applyFont="1" applyFill="1" applyAlignment="1">
      <alignment horizontal="right"/>
    </xf>
    <xf numFmtId="0" fontId="24" fillId="0" borderId="0" xfId="60" applyNumberFormat="1" applyFont="1" applyFill="1" applyAlignment="1"/>
    <xf numFmtId="0" fontId="24" fillId="0" borderId="0" xfId="60" applyFont="1" applyFill="1" applyAlignment="1"/>
    <xf numFmtId="0" fontId="11" fillId="0" borderId="4" xfId="60" applyNumberFormat="1" applyFont="1" applyFill="1" applyBorder="1" applyProtection="1">
      <protection locked="0"/>
    </xf>
    <xf numFmtId="0" fontId="11" fillId="0" borderId="4" xfId="60" applyNumberFormat="1" applyFont="1" applyFill="1" applyBorder="1"/>
    <xf numFmtId="3" fontId="11" fillId="0" borderId="0" xfId="60" applyNumberFormat="1" applyFont="1" applyFill="1" applyAlignment="1">
      <alignment horizontal="center"/>
    </xf>
    <xf numFmtId="49" fontId="11" fillId="0" borderId="0" xfId="60" applyNumberFormat="1" applyFont="1" applyFill="1"/>
    <xf numFmtId="49" fontId="11" fillId="0" borderId="0" xfId="60" applyNumberFormat="1" applyFont="1" applyFill="1" applyAlignment="1"/>
    <xf numFmtId="49" fontId="11" fillId="0" borderId="0" xfId="60" applyNumberFormat="1" applyFont="1" applyFill="1" applyAlignment="1">
      <alignment horizontal="center"/>
    </xf>
    <xf numFmtId="3" fontId="11" fillId="0" borderId="0" xfId="60" applyNumberFormat="1" applyFont="1" applyAlignment="1">
      <alignment horizontal="center"/>
    </xf>
    <xf numFmtId="3" fontId="24" fillId="0" borderId="0" xfId="60" applyNumberFormat="1" applyFill="1" applyAlignment="1"/>
    <xf numFmtId="3" fontId="11" fillId="0" borderId="4" xfId="60" applyNumberFormat="1" applyFont="1" applyBorder="1" applyAlignment="1">
      <alignment horizontal="center"/>
    </xf>
    <xf numFmtId="4" fontId="11" fillId="0" borderId="0" xfId="60" applyNumberFormat="1" applyFont="1" applyAlignment="1"/>
    <xf numFmtId="0" fontId="35" fillId="0" borderId="0" xfId="60" quotePrefix="1" applyNumberFormat="1" applyFont="1" applyFill="1" applyAlignment="1">
      <alignment horizontal="left"/>
    </xf>
    <xf numFmtId="0" fontId="24" fillId="0" borderId="0" xfId="60" applyNumberFormat="1" applyFont="1" applyFill="1"/>
    <xf numFmtId="0" fontId="24" fillId="0" borderId="4" xfId="60" applyNumberFormat="1" applyFill="1" applyBorder="1" applyAlignment="1" applyProtection="1">
      <alignment horizontal="center"/>
      <protection locked="0"/>
    </xf>
    <xf numFmtId="0" fontId="24" fillId="0" borderId="0" xfId="60" applyNumberFormat="1" applyFill="1" applyAlignment="1" applyProtection="1">
      <alignment horizontal="center"/>
      <protection locked="0"/>
    </xf>
    <xf numFmtId="168" fontId="11" fillId="0" borderId="0" xfId="60" applyNumberFormat="1" applyFont="1" applyAlignment="1"/>
    <xf numFmtId="3" fontId="11" fillId="0" borderId="0" xfId="60" quotePrefix="1" applyNumberFormat="1" applyFont="1" applyAlignment="1"/>
    <xf numFmtId="0" fontId="11" fillId="0" borderId="0" xfId="60" applyNumberFormat="1" applyFont="1" applyBorder="1" applyAlignment="1" applyProtection="1">
      <alignment horizontal="center"/>
      <protection locked="0"/>
    </xf>
    <xf numFmtId="0" fontId="24" fillId="0" borderId="0" xfId="60" applyFill="1" applyAlignment="1" applyProtection="1"/>
    <xf numFmtId="172" fontId="11" fillId="0" borderId="0" xfId="60" applyNumberFormat="1" applyFont="1" applyAlignment="1" applyProtection="1">
      <protection locked="0"/>
    </xf>
    <xf numFmtId="0" fontId="39" fillId="0" borderId="0" xfId="60" applyFont="1" applyAlignment="1"/>
    <xf numFmtId="3" fontId="24" fillId="0" borderId="0" xfId="60" applyNumberFormat="1" applyFont="1" applyFill="1" applyAlignment="1" applyProtection="1"/>
    <xf numFmtId="0" fontId="40" fillId="0" borderId="0" xfId="60" applyNumberFormat="1" applyFont="1" applyAlignment="1" applyProtection="1">
      <alignment horizontal="center"/>
      <protection locked="0"/>
    </xf>
    <xf numFmtId="169" fontId="24" fillId="0" borderId="0" xfId="60" applyNumberFormat="1" applyProtection="1">
      <protection locked="0"/>
    </xf>
    <xf numFmtId="0" fontId="39" fillId="0" borderId="0" xfId="60" applyNumberFormat="1" applyFont="1" applyAlignment="1" applyProtection="1">
      <alignment horizontal="center"/>
      <protection locked="0"/>
    </xf>
    <xf numFmtId="0" fontId="39" fillId="0" borderId="0" xfId="60" applyNumberFormat="1" applyFont="1" applyProtection="1">
      <protection locked="0"/>
    </xf>
    <xf numFmtId="0" fontId="39" fillId="0" borderId="0" xfId="60" applyNumberFormat="1" applyFont="1" applyAlignment="1" applyProtection="1">
      <protection locked="0"/>
    </xf>
    <xf numFmtId="3" fontId="39" fillId="0" borderId="0" xfId="60" applyNumberFormat="1" applyFont="1" applyAlignment="1"/>
    <xf numFmtId="0" fontId="41" fillId="0" borderId="0" xfId="60" applyNumberFormat="1" applyFont="1" applyProtection="1">
      <protection locked="0"/>
    </xf>
    <xf numFmtId="3" fontId="41" fillId="0" borderId="0" xfId="60" applyNumberFormat="1" applyFont="1" applyAlignment="1"/>
    <xf numFmtId="0" fontId="42" fillId="0" borderId="0" xfId="60" applyNumberFormat="1" applyFont="1" applyAlignment="1" applyProtection="1">
      <alignment horizontal="center"/>
      <protection locked="0"/>
    </xf>
    <xf numFmtId="0" fontId="39" fillId="0" borderId="4" xfId="60" applyNumberFormat="1" applyFont="1" applyBorder="1" applyAlignment="1" applyProtection="1">
      <alignment horizontal="center"/>
      <protection locked="0"/>
    </xf>
    <xf numFmtId="0" fontId="39" fillId="0" borderId="0" xfId="60" applyNumberFormat="1" applyFont="1" applyFill="1" applyProtection="1">
      <protection locked="0"/>
    </xf>
    <xf numFmtId="0" fontId="42" fillId="0" borderId="0" xfId="60" applyNumberFormat="1" applyFont="1" applyFill="1" applyAlignment="1" applyProtection="1">
      <alignment horizontal="center"/>
      <protection locked="0"/>
    </xf>
    <xf numFmtId="0" fontId="43" fillId="0" borderId="0" xfId="60" applyNumberFormat="1" applyFont="1" applyFill="1" applyAlignment="1" applyProtection="1">
      <alignment horizontal="left"/>
      <protection locked="0"/>
    </xf>
    <xf numFmtId="0" fontId="39" fillId="0" borderId="0" xfId="60" applyFont="1" applyAlignment="1">
      <alignment horizontal="center"/>
    </xf>
    <xf numFmtId="0" fontId="38" fillId="0" borderId="0" xfId="60" applyNumberFormat="1" applyFont="1" applyFill="1"/>
    <xf numFmtId="0" fontId="38" fillId="0" borderId="0" xfId="60" applyNumberFormat="1" applyFont="1"/>
    <xf numFmtId="0" fontId="44" fillId="0" borderId="0" xfId="60" quotePrefix="1" applyFont="1" applyAlignment="1">
      <alignment horizontal="left"/>
    </xf>
    <xf numFmtId="0" fontId="44" fillId="0" borderId="0" xfId="60" quotePrefix="1" applyNumberFormat="1" applyFont="1" applyAlignment="1">
      <alignment horizontal="left"/>
    </xf>
    <xf numFmtId="0" fontId="44" fillId="0" borderId="0" xfId="60" applyNumberFormat="1" applyFont="1" applyAlignment="1">
      <alignment horizontal="left"/>
    </xf>
    <xf numFmtId="0" fontId="11" fillId="0" borderId="0" xfId="60" quotePrefix="1" applyFont="1" applyAlignment="1">
      <alignment horizontal="left"/>
    </xf>
    <xf numFmtId="0" fontId="24" fillId="0" borderId="0" xfId="60" applyNumberFormat="1" applyFont="1" applyAlignment="1" applyProtection="1">
      <alignment horizontal="center"/>
      <protection locked="0"/>
    </xf>
    <xf numFmtId="0" fontId="11" fillId="0" borderId="0" xfId="60" quotePrefix="1" applyFont="1" applyAlignment="1">
      <alignment horizontal="left" indent="1"/>
    </xf>
    <xf numFmtId="0" fontId="11" fillId="0" borderId="0" xfId="60" quotePrefix="1" applyNumberFormat="1" applyFont="1" applyAlignment="1" applyProtection="1">
      <alignment horizontal="left"/>
      <protection locked="0"/>
    </xf>
    <xf numFmtId="0" fontId="24" fillId="0" borderId="0" xfId="60" applyNumberFormat="1" applyFont="1" applyProtection="1">
      <protection locked="0"/>
    </xf>
    <xf numFmtId="0" fontId="11" fillId="0" borderId="0" xfId="60" applyNumberFormat="1" applyFont="1" applyBorder="1" applyAlignment="1"/>
    <xf numFmtId="0" fontId="4" fillId="0" borderId="0" xfId="53"/>
    <xf numFmtId="0" fontId="4" fillId="0" borderId="0" xfId="53" applyFill="1" applyBorder="1"/>
    <xf numFmtId="0" fontId="4" fillId="0" borderId="0" xfId="53" applyAlignment="1">
      <alignment horizontal="center"/>
    </xf>
    <xf numFmtId="0" fontId="4" fillId="0" borderId="0" xfId="53" applyFill="1" applyBorder="1" applyAlignment="1">
      <alignment horizontal="center"/>
    </xf>
    <xf numFmtId="0" fontId="4" fillId="0" borderId="0" xfId="53" applyAlignment="1">
      <alignment horizontal="left"/>
    </xf>
    <xf numFmtId="173" fontId="11" fillId="0" borderId="0" xfId="32" applyNumberFormat="1" applyFont="1" applyFill="1" applyAlignment="1"/>
    <xf numFmtId="0" fontId="24" fillId="0" borderId="0" xfId="60" applyBorder="1" applyAlignment="1"/>
    <xf numFmtId="0" fontId="24" fillId="0" borderId="0" xfId="60" applyFont="1" applyBorder="1" applyAlignment="1"/>
    <xf numFmtId="3" fontId="11" fillId="0" borderId="0" xfId="60" applyNumberFormat="1" applyFont="1" applyBorder="1" applyAlignment="1"/>
    <xf numFmtId="3" fontId="11" fillId="0" borderId="0" xfId="60" applyNumberFormat="1" applyFont="1" applyFill="1" applyBorder="1" applyAlignment="1"/>
    <xf numFmtId="0" fontId="24" fillId="0" borderId="0" xfId="60" applyNumberFormat="1" applyFill="1" applyBorder="1" applyAlignment="1" applyProtection="1">
      <alignment horizontal="center"/>
      <protection locked="0"/>
    </xf>
    <xf numFmtId="0" fontId="24" fillId="0" borderId="0" xfId="60" applyFill="1" applyBorder="1" applyAlignment="1"/>
    <xf numFmtId="0" fontId="11" fillId="0" borderId="0" xfId="60" applyNumberFormat="1" applyFont="1" applyFill="1" applyBorder="1" applyAlignment="1"/>
    <xf numFmtId="0" fontId="11" fillId="0" borderId="0" xfId="60" applyNumberFormat="1" applyFont="1" applyFill="1" applyBorder="1"/>
    <xf numFmtId="0" fontId="24" fillId="0" borderId="0" xfId="60" applyNumberFormat="1" applyFont="1" applyFill="1" applyBorder="1"/>
    <xf numFmtId="0" fontId="24" fillId="0" borderId="0" xfId="60" applyFont="1" applyFill="1" applyBorder="1" applyAlignment="1"/>
    <xf numFmtId="3" fontId="45" fillId="0" borderId="0" xfId="60" applyNumberFormat="1" applyFont="1" applyFill="1" applyBorder="1" applyAlignment="1">
      <alignment horizontal="right"/>
    </xf>
    <xf numFmtId="3" fontId="24" fillId="0" borderId="0" xfId="60" applyNumberFormat="1" applyFont="1" applyBorder="1" applyAlignment="1"/>
    <xf numFmtId="49" fontId="11" fillId="0" borderId="0" xfId="60" quotePrefix="1" applyNumberFormat="1" applyFont="1" applyBorder="1" applyAlignment="1">
      <alignment horizontal="center"/>
    </xf>
    <xf numFmtId="0" fontId="11" fillId="0" borderId="0" xfId="60" applyNumberFormat="1" applyFont="1" applyBorder="1" applyAlignment="1">
      <alignment horizontal="center"/>
    </xf>
    <xf numFmtId="0" fontId="24" fillId="0" borderId="0" xfId="60" applyNumberFormat="1" applyFont="1" applyBorder="1" applyAlignment="1">
      <alignment horizontal="center"/>
    </xf>
    <xf numFmtId="3" fontId="44" fillId="0" borderId="0" xfId="60" quotePrefix="1" applyNumberFormat="1" applyFont="1" applyBorder="1" applyAlignment="1">
      <alignment horizontal="right"/>
    </xf>
    <xf numFmtId="0" fontId="45" fillId="0" borderId="0" xfId="60" applyFont="1" applyBorder="1" applyAlignment="1">
      <alignment horizontal="right"/>
    </xf>
    <xf numFmtId="3" fontId="11" fillId="0" borderId="0" xfId="60" applyNumberFormat="1" applyFont="1" applyBorder="1" applyAlignment="1">
      <alignment horizontal="right"/>
    </xf>
    <xf numFmtId="164" fontId="11" fillId="0" borderId="0" xfId="60" applyNumberFormat="1" applyFont="1" applyBorder="1" applyAlignment="1">
      <alignment horizontal="center"/>
    </xf>
    <xf numFmtId="3" fontId="35" fillId="0" borderId="0" xfId="60" applyNumberFormat="1" applyFont="1" applyBorder="1" applyAlignment="1"/>
    <xf numFmtId="3" fontId="44" fillId="0" borderId="0" xfId="60" applyNumberFormat="1" applyFont="1" applyBorder="1" applyAlignment="1">
      <alignment horizontal="right"/>
    </xf>
    <xf numFmtId="3" fontId="24" fillId="0" borderId="0" xfId="60" applyNumberFormat="1" applyFont="1" applyBorder="1" applyAlignment="1">
      <alignment horizontal="center"/>
    </xf>
    <xf numFmtId="49" fontId="11" fillId="0" borderId="0" xfId="60" quotePrefix="1" applyNumberFormat="1" applyFont="1" applyFill="1" applyBorder="1" applyAlignment="1">
      <alignment horizontal="center"/>
    </xf>
    <xf numFmtId="0" fontId="11" fillId="0" borderId="0" xfId="60" applyNumberFormat="1" applyFont="1" applyFill="1" applyBorder="1" applyAlignment="1" applyProtection="1">
      <alignment horizontal="center"/>
      <protection locked="0"/>
    </xf>
    <xf numFmtId="3" fontId="45" fillId="0" borderId="0" xfId="60" applyNumberFormat="1" applyFont="1" applyFill="1" applyBorder="1" applyAlignment="1"/>
    <xf numFmtId="164" fontId="11" fillId="0" borderId="0" xfId="60" applyNumberFormat="1" applyFont="1" applyFill="1" applyBorder="1" applyAlignment="1">
      <alignment horizontal="center"/>
    </xf>
    <xf numFmtId="3" fontId="44" fillId="0" borderId="0" xfId="60" applyNumberFormat="1" applyFont="1" applyFill="1" applyBorder="1" applyAlignment="1">
      <alignment horizontal="right"/>
    </xf>
    <xf numFmtId="0" fontId="6" fillId="0" borderId="0" xfId="60" applyNumberFormat="1" applyFont="1" applyBorder="1" applyAlignment="1" applyProtection="1">
      <alignment horizontal="center"/>
      <protection locked="0"/>
    </xf>
    <xf numFmtId="0" fontId="24" fillId="0" borderId="0" xfId="60" applyNumberFormat="1" applyBorder="1" applyProtection="1">
      <protection locked="0"/>
    </xf>
    <xf numFmtId="0" fontId="38" fillId="0" borderId="0" xfId="60" applyFont="1" applyFill="1" applyBorder="1" applyAlignment="1"/>
    <xf numFmtId="0" fontId="38" fillId="0" borderId="0" xfId="60" applyFont="1" applyBorder="1" applyAlignment="1"/>
    <xf numFmtId="42" fontId="11" fillId="0" borderId="0" xfId="60" applyNumberFormat="1" applyFont="1" applyFill="1" applyBorder="1"/>
    <xf numFmtId="42" fontId="11" fillId="0" borderId="0" xfId="60" applyNumberFormat="1" applyFont="1" applyFill="1" applyBorder="1" applyAlignment="1" applyProtection="1">
      <alignment horizontal="right"/>
      <protection locked="0"/>
    </xf>
    <xf numFmtId="3" fontId="44" fillId="0" borderId="0" xfId="60" applyNumberFormat="1" applyFont="1" applyFill="1" applyBorder="1" applyAlignment="1"/>
    <xf numFmtId="42" fontId="11" fillId="0" borderId="0" xfId="60" applyNumberFormat="1" applyFont="1" applyFill="1"/>
    <xf numFmtId="0" fontId="11" fillId="0" borderId="0" xfId="60" quotePrefix="1" applyNumberFormat="1" applyFont="1" applyFill="1" applyAlignment="1" applyProtection="1">
      <alignment horizontal="left"/>
      <protection locked="0"/>
    </xf>
    <xf numFmtId="173" fontId="11" fillId="0" borderId="0" xfId="32" applyNumberFormat="1" applyFont="1" applyFill="1" applyBorder="1" applyAlignment="1"/>
    <xf numFmtId="0" fontId="0" fillId="0" borderId="0" xfId="0" applyNumberFormat="1"/>
    <xf numFmtId="165" fontId="11" fillId="0" borderId="0" xfId="60" applyNumberFormat="1" applyFont="1" applyFill="1" applyBorder="1" applyAlignment="1"/>
    <xf numFmtId="0" fontId="4" fillId="5" borderId="0" xfId="53" applyFill="1" applyAlignment="1">
      <alignment horizontal="center"/>
    </xf>
    <xf numFmtId="173" fontId="48" fillId="0" borderId="0" xfId="32" applyNumberFormat="1" applyFont="1" applyFill="1" applyBorder="1"/>
    <xf numFmtId="0" fontId="53" fillId="0" borderId="9" xfId="60" applyNumberFormat="1" applyFont="1" applyBorder="1"/>
    <xf numFmtId="0" fontId="0" fillId="0" borderId="0" xfId="60" applyFont="1" applyFill="1" applyBorder="1" applyAlignment="1"/>
    <xf numFmtId="173" fontId="24" fillId="0" borderId="0" xfId="32" applyNumberFormat="1" applyFont="1" applyAlignment="1"/>
    <xf numFmtId="173" fontId="24" fillId="0" borderId="4" xfId="32" applyNumberFormat="1" applyFont="1" applyBorder="1" applyAlignment="1"/>
    <xf numFmtId="0" fontId="4" fillId="0" borderId="0" xfId="55"/>
    <xf numFmtId="0" fontId="4" fillId="0" borderId="0" xfId="55" applyFill="1"/>
    <xf numFmtId="3" fontId="11" fillId="0" borderId="0" xfId="55" applyNumberFormat="1" applyFont="1" applyFill="1" applyBorder="1" applyAlignment="1"/>
    <xf numFmtId="3" fontId="11" fillId="0" borderId="6" xfId="55" applyNumberFormat="1" applyFont="1" applyFill="1" applyBorder="1" applyAlignment="1"/>
    <xf numFmtId="173" fontId="11" fillId="0" borderId="0" xfId="32" applyNumberFormat="1" applyFont="1"/>
    <xf numFmtId="173" fontId="11" fillId="0" borderId="0" xfId="32" applyNumberFormat="1" applyFont="1" applyAlignment="1"/>
    <xf numFmtId="173" fontId="11" fillId="0" borderId="8" xfId="32" applyNumberFormat="1" applyFont="1" applyBorder="1" applyAlignment="1"/>
    <xf numFmtId="173" fontId="11" fillId="0" borderId="0" xfId="32" applyNumberFormat="1" applyFont="1" applyAlignment="1" applyProtection="1">
      <protection locked="0"/>
    </xf>
    <xf numFmtId="173" fontId="11" fillId="0" borderId="0" xfId="32" applyNumberFormat="1" applyFont="1" applyAlignment="1" applyProtection="1">
      <alignment horizontal="right"/>
      <protection locked="0"/>
    </xf>
    <xf numFmtId="173" fontId="11" fillId="0" borderId="0" xfId="32" applyNumberFormat="1" applyFont="1" applyAlignment="1">
      <alignment horizontal="right"/>
    </xf>
    <xf numFmtId="173" fontId="11" fillId="0" borderId="0" xfId="32" applyNumberFormat="1" applyFont="1" applyProtection="1">
      <protection locked="0"/>
    </xf>
    <xf numFmtId="173" fontId="11" fillId="0" borderId="0" xfId="32" applyNumberFormat="1" applyFont="1" applyAlignment="1">
      <alignment horizontal="center"/>
    </xf>
    <xf numFmtId="173" fontId="24" fillId="0" borderId="0" xfId="32" applyNumberFormat="1" applyFont="1" applyProtection="1">
      <protection locked="0"/>
    </xf>
    <xf numFmtId="173" fontId="6" fillId="0" borderId="0" xfId="32" applyNumberFormat="1" applyFont="1" applyAlignment="1" applyProtection="1">
      <alignment horizontal="center"/>
      <protection locked="0"/>
    </xf>
    <xf numFmtId="173" fontId="33" fillId="0" borderId="0" xfId="32" applyNumberFormat="1" applyFont="1" applyAlignment="1" applyProtection="1">
      <alignment horizontal="center"/>
      <protection locked="0"/>
    </xf>
    <xf numFmtId="173" fontId="11" fillId="0" borderId="0" xfId="32" applyNumberFormat="1" applyFont="1" applyFill="1" applyAlignment="1">
      <alignment horizontal="right"/>
    </xf>
    <xf numFmtId="173" fontId="11" fillId="6" borderId="0" xfId="32" applyNumberFormat="1" applyFont="1" applyFill="1" applyAlignment="1"/>
    <xf numFmtId="0" fontId="29" fillId="0" borderId="10" xfId="55" applyFont="1" applyFill="1" applyBorder="1" applyAlignment="1">
      <alignment horizontal="center"/>
    </xf>
    <xf numFmtId="0" fontId="4" fillId="0" borderId="0" xfId="55" applyFont="1" applyFill="1"/>
    <xf numFmtId="173" fontId="4" fillId="6" borderId="9" xfId="35" applyNumberFormat="1" applyFont="1" applyFill="1" applyBorder="1" applyAlignment="1">
      <alignment horizontal="right"/>
    </xf>
    <xf numFmtId="173" fontId="4" fillId="6" borderId="11" xfId="35" applyNumberFormat="1" applyFont="1" applyFill="1" applyBorder="1" applyAlignment="1">
      <alignment horizontal="right"/>
    </xf>
    <xf numFmtId="173" fontId="0" fillId="0" borderId="0" xfId="35" applyNumberFormat="1" applyFont="1" applyAlignment="1"/>
    <xf numFmtId="0" fontId="48" fillId="0" borderId="0" xfId="55" applyFont="1"/>
    <xf numFmtId="173" fontId="48" fillId="0" borderId="0" xfId="35" applyNumberFormat="1" applyFont="1" applyAlignment="1"/>
    <xf numFmtId="173" fontId="24" fillId="5" borderId="0" xfId="35" applyNumberFormat="1" applyFont="1" applyFill="1" applyAlignment="1"/>
    <xf numFmtId="0" fontId="52" fillId="0" borderId="0" xfId="55" applyFont="1"/>
    <xf numFmtId="173" fontId="4" fillId="0" borderId="0" xfId="35" applyNumberFormat="1" applyFont="1" applyFill="1" applyBorder="1" applyAlignment="1"/>
    <xf numFmtId="173" fontId="4" fillId="0" borderId="0" xfId="55" applyNumberFormat="1" applyFont="1" applyFill="1"/>
    <xf numFmtId="173" fontId="4" fillId="0" borderId="0" xfId="35" applyNumberFormat="1" applyFill="1" applyAlignment="1"/>
    <xf numFmtId="0" fontId="4" fillId="0" borderId="0" xfId="55" applyFont="1"/>
    <xf numFmtId="173" fontId="4" fillId="0" borderId="0" xfId="35" applyNumberFormat="1" applyAlignment="1"/>
    <xf numFmtId="0" fontId="4" fillId="0" borderId="0" xfId="55" applyAlignment="1"/>
    <xf numFmtId="173" fontId="4" fillId="0" borderId="0" xfId="35" applyNumberFormat="1" applyFont="1" applyFill="1" applyBorder="1"/>
    <xf numFmtId="0" fontId="4" fillId="0" borderId="0" xfId="55" applyFont="1" applyAlignment="1">
      <alignment horizontal="center"/>
    </xf>
    <xf numFmtId="0" fontId="4" fillId="0" borderId="12" xfId="55" applyFont="1" applyBorder="1"/>
    <xf numFmtId="0" fontId="4" fillId="0" borderId="4" xfId="55" applyFont="1" applyBorder="1"/>
    <xf numFmtId="0" fontId="4" fillId="0" borderId="13" xfId="55" applyFont="1" applyBorder="1" applyAlignment="1">
      <alignment horizontal="center"/>
    </xf>
    <xf numFmtId="0" fontId="4" fillId="0" borderId="9" xfId="55" applyFont="1" applyBorder="1"/>
    <xf numFmtId="0" fontId="4" fillId="0" borderId="0" xfId="55" applyFont="1" applyBorder="1"/>
    <xf numFmtId="0" fontId="4" fillId="0" borderId="10" xfId="55" applyFont="1" applyBorder="1" applyAlignment="1">
      <alignment horizontal="center"/>
    </xf>
    <xf numFmtId="0" fontId="4" fillId="0" borderId="0" xfId="55" applyFont="1" applyBorder="1" applyAlignment="1">
      <alignment horizontal="center"/>
    </xf>
    <xf numFmtId="0" fontId="4" fillId="0" borderId="0" xfId="55" applyNumberFormat="1" applyFont="1" applyFill="1" applyBorder="1" applyAlignment="1"/>
    <xf numFmtId="0" fontId="4" fillId="0" borderId="0" xfId="55" applyFont="1" applyFill="1" applyBorder="1" applyAlignment="1">
      <alignment horizontal="center" wrapText="1"/>
    </xf>
    <xf numFmtId="0" fontId="4" fillId="0" borderId="0" xfId="55" applyFont="1" applyBorder="1" applyAlignment="1"/>
    <xf numFmtId="3" fontId="4" fillId="0" borderId="0" xfId="55" applyNumberFormat="1" applyFont="1" applyBorder="1" applyAlignment="1">
      <alignment horizontal="center"/>
    </xf>
    <xf numFmtId="173" fontId="4" fillId="0" borderId="0" xfId="35" applyNumberFormat="1" applyFont="1" applyFill="1" applyBorder="1" applyAlignment="1">
      <alignment horizontal="right"/>
    </xf>
    <xf numFmtId="0" fontId="4" fillId="0" borderId="0" xfId="55" applyFont="1" applyBorder="1" applyAlignment="1">
      <alignment horizontal="right"/>
    </xf>
    <xf numFmtId="0" fontId="54" fillId="0" borderId="0" xfId="55" applyFont="1" applyBorder="1" applyAlignment="1">
      <alignment horizontal="left"/>
    </xf>
    <xf numFmtId="0" fontId="4" fillId="0" borderId="14" xfId="55" applyFont="1" applyBorder="1" applyAlignment="1">
      <alignment horizontal="center" wrapText="1"/>
    </xf>
    <xf numFmtId="0" fontId="4" fillId="0" borderId="15" xfId="55" applyFont="1" applyBorder="1" applyAlignment="1">
      <alignment horizontal="center" wrapText="1"/>
    </xf>
    <xf numFmtId="0" fontId="51" fillId="0" borderId="0" xfId="55" applyFont="1" applyFill="1" applyBorder="1" applyAlignment="1">
      <alignment horizontal="left"/>
    </xf>
    <xf numFmtId="0" fontId="4" fillId="0" borderId="4" xfId="55" applyFont="1" applyFill="1" applyBorder="1"/>
    <xf numFmtId="0" fontId="4" fillId="0" borderId="13" xfId="55" applyFont="1" applyFill="1" applyBorder="1"/>
    <xf numFmtId="0" fontId="4" fillId="0" borderId="6" xfId="55" applyNumberFormat="1" applyFont="1" applyFill="1" applyBorder="1" applyAlignment="1">
      <alignment horizontal="left"/>
    </xf>
    <xf numFmtId="173" fontId="4" fillId="6" borderId="0" xfId="35" applyNumberFormat="1" applyFont="1" applyFill="1" applyBorder="1" applyAlignment="1">
      <alignment horizontal="right"/>
    </xf>
    <xf numFmtId="0" fontId="4" fillId="0" borderId="0" xfId="55" applyFont="1" applyBorder="1" applyAlignment="1">
      <alignment horizontal="left"/>
    </xf>
    <xf numFmtId="0" fontId="4" fillId="0" borderId="0" xfId="55" applyNumberFormat="1" applyFont="1" applyFill="1" applyBorder="1" applyAlignment="1">
      <alignment horizontal="left"/>
    </xf>
    <xf numFmtId="173" fontId="4" fillId="0" borderId="0" xfId="55" applyNumberFormat="1" applyFont="1" applyBorder="1"/>
    <xf numFmtId="0" fontId="4" fillId="0" borderId="9" xfId="55" applyFont="1" applyFill="1" applyBorder="1"/>
    <xf numFmtId="0" fontId="4" fillId="0" borderId="0" xfId="55" applyFont="1" applyFill="1" applyBorder="1"/>
    <xf numFmtId="0" fontId="4" fillId="0" borderId="0" xfId="55" applyFont="1" applyFill="1" applyBorder="1" applyAlignment="1">
      <alignment horizontal="center"/>
    </xf>
    <xf numFmtId="0" fontId="4" fillId="0" borderId="10" xfId="55" applyFont="1" applyFill="1" applyBorder="1" applyAlignment="1">
      <alignment horizontal="center"/>
    </xf>
    <xf numFmtId="0" fontId="4" fillId="0" borderId="0" xfId="55" applyFont="1" applyFill="1" applyBorder="1" applyAlignment="1"/>
    <xf numFmtId="173" fontId="4" fillId="0" borderId="0" xfId="35" applyNumberFormat="1" applyFont="1" applyFill="1" applyBorder="1" applyAlignment="1">
      <alignment horizontal="center"/>
    </xf>
    <xf numFmtId="0" fontId="4" fillId="0" borderId="0" xfId="55" applyNumberFormat="1" applyFont="1" applyFill="1" applyBorder="1" applyAlignment="1">
      <alignment horizontal="center"/>
    </xf>
    <xf numFmtId="0" fontId="4" fillId="0" borderId="10" xfId="55" applyNumberFormat="1" applyFont="1" applyFill="1" applyBorder="1" applyAlignment="1">
      <alignment horizontal="center"/>
    </xf>
    <xf numFmtId="0" fontId="51" fillId="7" borderId="15" xfId="55" applyFont="1" applyFill="1" applyBorder="1" applyAlignment="1">
      <alignment horizontal="center" wrapText="1"/>
    </xf>
    <xf numFmtId="173" fontId="29" fillId="0" borderId="0" xfId="35" applyNumberFormat="1" applyFont="1" applyBorder="1" applyAlignment="1"/>
    <xf numFmtId="173" fontId="4" fillId="0" borderId="0" xfId="35" applyNumberFormat="1" applyFont="1" applyBorder="1"/>
    <xf numFmtId="173" fontId="47" fillId="0" borderId="0" xfId="35" applyNumberFormat="1" applyFont="1" applyBorder="1" applyAlignment="1"/>
    <xf numFmtId="0" fontId="48" fillId="0" borderId="0" xfId="55" applyFont="1" applyBorder="1"/>
    <xf numFmtId="0" fontId="47" fillId="0" borderId="0" xfId="55" applyFont="1" applyBorder="1" applyAlignment="1"/>
    <xf numFmtId="173" fontId="4" fillId="0" borderId="4" xfId="35" applyNumberFormat="1" applyFont="1" applyFill="1" applyBorder="1"/>
    <xf numFmtId="0" fontId="4" fillId="0" borderId="4" xfId="55" applyNumberFormat="1" applyFont="1" applyFill="1" applyBorder="1" applyAlignment="1">
      <alignment horizontal="center"/>
    </xf>
    <xf numFmtId="0" fontId="4" fillId="0" borderId="13" xfId="55" applyNumberFormat="1" applyFont="1" applyFill="1" applyBorder="1" applyAlignment="1">
      <alignment horizontal="center"/>
    </xf>
    <xf numFmtId="0" fontId="4" fillId="0" borderId="9" xfId="55" applyFont="1" applyFill="1" applyBorder="1" applyAlignment="1">
      <alignment horizontal="center"/>
    </xf>
    <xf numFmtId="0" fontId="4" fillId="0" borderId="0" xfId="55" applyFont="1" applyFill="1" applyBorder="1" applyAlignment="1">
      <alignment horizontal="left"/>
    </xf>
    <xf numFmtId="173" fontId="4" fillId="0" borderId="0" xfId="35" applyNumberFormat="1" applyFont="1" applyFill="1" applyBorder="1" applyAlignment="1">
      <alignment horizontal="left"/>
    </xf>
    <xf numFmtId="173" fontId="4" fillId="0" borderId="0" xfId="55" applyNumberFormat="1" applyFont="1" applyFill="1" applyBorder="1" applyAlignment="1">
      <alignment horizontal="left"/>
    </xf>
    <xf numFmtId="0" fontId="48" fillId="0" borderId="0" xfId="55" applyFont="1" applyFill="1" applyBorder="1"/>
    <xf numFmtId="164" fontId="4" fillId="0" borderId="0" xfId="66" applyNumberFormat="1" applyFont="1" applyFill="1" applyBorder="1" applyAlignment="1"/>
    <xf numFmtId="0" fontId="4" fillId="0" borderId="9" xfId="55" applyFont="1" applyFill="1" applyBorder="1" applyAlignment="1"/>
    <xf numFmtId="0" fontId="29" fillId="0" borderId="0" xfId="55" applyNumberFormat="1" applyFont="1" applyFill="1" applyBorder="1" applyAlignment="1">
      <alignment horizontal="center"/>
    </xf>
    <xf numFmtId="3" fontId="4" fillId="0" borderId="0" xfId="55" applyNumberFormat="1" applyFont="1" applyFill="1" applyBorder="1" applyAlignment="1"/>
    <xf numFmtId="0" fontId="29" fillId="0" borderId="0" xfId="55" applyFont="1" applyFill="1" applyBorder="1" applyAlignment="1">
      <alignment horizontal="left"/>
    </xf>
    <xf numFmtId="3" fontId="53" fillId="0" borderId="0" xfId="55" applyNumberFormat="1" applyFont="1" applyFill="1" applyBorder="1" applyAlignment="1">
      <alignment horizontal="center"/>
    </xf>
    <xf numFmtId="0" fontId="29" fillId="0" borderId="0" xfId="55" applyFont="1" applyFill="1" applyBorder="1" applyAlignment="1"/>
    <xf numFmtId="0" fontId="29" fillId="0" borderId="0" xfId="55" applyNumberFormat="1" applyFont="1" applyFill="1" applyBorder="1" applyAlignment="1">
      <alignment horizontal="left"/>
    </xf>
    <xf numFmtId="0" fontId="4" fillId="7" borderId="15" xfId="55" applyFont="1" applyFill="1" applyBorder="1"/>
    <xf numFmtId="0" fontId="51" fillId="7" borderId="16" xfId="55" applyFont="1" applyFill="1" applyBorder="1" applyAlignment="1">
      <alignment horizontal="left"/>
    </xf>
    <xf numFmtId="173" fontId="4" fillId="6" borderId="4" xfId="35" applyNumberFormat="1" applyFont="1" applyFill="1" applyBorder="1" applyAlignment="1">
      <alignment horizontal="right"/>
    </xf>
    <xf numFmtId="173" fontId="4" fillId="6" borderId="13" xfId="35" applyNumberFormat="1" applyFont="1" applyFill="1" applyBorder="1" applyAlignment="1">
      <alignment horizontal="right"/>
    </xf>
    <xf numFmtId="0" fontId="48" fillId="0" borderId="4" xfId="55" applyFont="1" applyBorder="1"/>
    <xf numFmtId="0" fontId="48" fillId="0" borderId="0" xfId="55" applyFont="1" applyBorder="1" applyAlignment="1"/>
    <xf numFmtId="173" fontId="4" fillId="6" borderId="10" xfId="35" applyNumberFormat="1" applyFont="1" applyFill="1" applyBorder="1" applyAlignment="1">
      <alignment horizontal="right"/>
    </xf>
    <xf numFmtId="0" fontId="4" fillId="0" borderId="0" xfId="55" applyFont="1" applyFill="1" applyAlignment="1">
      <alignment horizontal="center"/>
    </xf>
    <xf numFmtId="0" fontId="29" fillId="0" borderId="0" xfId="55" applyFont="1" applyBorder="1" applyAlignment="1">
      <alignment horizontal="left"/>
    </xf>
    <xf numFmtId="0" fontId="51" fillId="7" borderId="16" xfId="55" applyFont="1" applyFill="1" applyBorder="1" applyAlignment="1">
      <alignment horizontal="center" wrapText="1"/>
    </xf>
    <xf numFmtId="0" fontId="51" fillId="0" borderId="0" xfId="55" applyFont="1" applyBorder="1"/>
    <xf numFmtId="0" fontId="53" fillId="0" borderId="0" xfId="55" applyNumberFormat="1" applyFont="1" applyFill="1" applyBorder="1" applyAlignment="1">
      <alignment horizontal="center"/>
    </xf>
    <xf numFmtId="0" fontId="51" fillId="0" borderId="4" xfId="55" applyFont="1" applyBorder="1"/>
    <xf numFmtId="0" fontId="4" fillId="0" borderId="13" xfId="55" applyFont="1" applyBorder="1"/>
    <xf numFmtId="0" fontId="29" fillId="0" borderId="0" xfId="55" applyFont="1" applyFill="1" applyBorder="1" applyAlignment="1">
      <alignment horizontal="center"/>
    </xf>
    <xf numFmtId="0" fontId="4" fillId="0" borderId="10" xfId="55" applyFont="1" applyBorder="1"/>
    <xf numFmtId="3" fontId="29" fillId="0" borderId="0" xfId="55" applyNumberFormat="1" applyFont="1" applyBorder="1" applyAlignment="1"/>
    <xf numFmtId="3" fontId="29" fillId="0" borderId="0" xfId="55" applyNumberFormat="1" applyFont="1" applyBorder="1" applyAlignment="1">
      <alignment horizontal="center"/>
    </xf>
    <xf numFmtId="0" fontId="29" fillId="0" borderId="0" xfId="55" applyNumberFormat="1" applyFont="1" applyFill="1" applyBorder="1" applyAlignment="1"/>
    <xf numFmtId="0" fontId="29" fillId="0" borderId="0" xfId="55" applyNumberFormat="1" applyFont="1" applyBorder="1" applyAlignment="1">
      <alignment horizontal="left"/>
    </xf>
    <xf numFmtId="0" fontId="29" fillId="0" borderId="10" xfId="55" applyNumberFormat="1" applyFont="1" applyBorder="1" applyAlignment="1">
      <alignment horizontal="center"/>
    </xf>
    <xf numFmtId="0" fontId="53" fillId="0" borderId="4" xfId="55" applyNumberFormat="1" applyFont="1" applyBorder="1" applyAlignment="1">
      <alignment horizontal="center"/>
    </xf>
    <xf numFmtId="170" fontId="4" fillId="0" borderId="12" xfId="64" applyNumberFormat="1" applyFont="1" applyFill="1" applyBorder="1" applyAlignment="1">
      <alignment horizontal="center"/>
    </xf>
    <xf numFmtId="0" fontId="4" fillId="0" borderId="12" xfId="55" applyNumberFormat="1" applyFont="1" applyBorder="1" applyAlignment="1">
      <alignment horizontal="left"/>
    </xf>
    <xf numFmtId="172" fontId="4" fillId="0" borderId="4" xfId="55" applyNumberFormat="1" applyFont="1" applyBorder="1" applyAlignment="1"/>
    <xf numFmtId="0" fontId="4" fillId="0" borderId="4" xfId="55" applyNumberFormat="1" applyFont="1" applyBorder="1" applyAlignment="1">
      <alignment horizontal="center"/>
    </xf>
    <xf numFmtId="0" fontId="29" fillId="0" borderId="9" xfId="55" applyFont="1" applyFill="1" applyBorder="1" applyAlignment="1">
      <alignment horizontal="center"/>
    </xf>
    <xf numFmtId="0" fontId="29" fillId="6" borderId="0" xfId="55" applyFont="1" applyFill="1" applyBorder="1" applyAlignment="1">
      <alignment horizontal="center"/>
    </xf>
    <xf numFmtId="3" fontId="4" fillId="0" borderId="9" xfId="55" applyNumberFormat="1" applyFont="1" applyBorder="1" applyAlignment="1"/>
    <xf numFmtId="164" fontId="29" fillId="0" borderId="0" xfId="55" applyNumberFormat="1" applyFont="1" applyBorder="1" applyAlignment="1">
      <alignment horizontal="left"/>
    </xf>
    <xf numFmtId="0" fontId="4" fillId="0" borderId="10" xfId="55" applyNumberFormat="1" applyFont="1" applyBorder="1" applyAlignment="1">
      <alignment horizontal="center"/>
    </xf>
    <xf numFmtId="0" fontId="4" fillId="0" borderId="4" xfId="55" applyNumberFormat="1" applyFont="1" applyFill="1" applyBorder="1" applyAlignment="1">
      <alignment horizontal="left"/>
    </xf>
    <xf numFmtId="0" fontId="53" fillId="0" borderId="4" xfId="55" applyNumberFormat="1" applyFont="1" applyFill="1" applyBorder="1" applyAlignment="1">
      <alignment horizontal="center"/>
    </xf>
    <xf numFmtId="3" fontId="53" fillId="0" borderId="0" xfId="55" applyNumberFormat="1" applyFont="1" applyBorder="1" applyAlignment="1">
      <alignment horizontal="center"/>
    </xf>
    <xf numFmtId="0" fontId="4" fillId="0" borderId="12" xfId="55" applyNumberFormat="1" applyFont="1" applyFill="1" applyBorder="1" applyAlignment="1">
      <alignment horizontal="left"/>
    </xf>
    <xf numFmtId="3" fontId="4" fillId="0" borderId="0" xfId="55" applyNumberFormat="1" applyFont="1" applyFill="1" applyBorder="1" applyAlignment="1">
      <alignment horizontal="center"/>
    </xf>
    <xf numFmtId="0" fontId="53" fillId="0" borderId="0" xfId="55" applyFont="1" applyFill="1" applyBorder="1" applyAlignment="1"/>
    <xf numFmtId="173" fontId="29" fillId="0" borderId="4" xfId="35" applyNumberFormat="1" applyFont="1" applyFill="1" applyBorder="1"/>
    <xf numFmtId="0" fontId="4" fillId="0" borderId="9" xfId="55" applyFont="1" applyBorder="1" applyAlignment="1">
      <alignment horizontal="center" wrapText="1"/>
    </xf>
    <xf numFmtId="0" fontId="4" fillId="0" borderId="0" xfId="55" applyFont="1" applyBorder="1" applyAlignment="1">
      <alignment horizontal="center" wrapText="1"/>
    </xf>
    <xf numFmtId="0" fontId="51" fillId="0" borderId="0" xfId="55" applyFont="1" applyFill="1" applyBorder="1" applyAlignment="1">
      <alignment horizontal="center" wrapText="1"/>
    </xf>
    <xf numFmtId="173" fontId="29" fillId="0" borderId="0" xfId="35" applyNumberFormat="1" applyFont="1" applyFill="1" applyBorder="1"/>
    <xf numFmtId="0" fontId="51" fillId="0" borderId="0" xfId="55" applyFont="1" applyFill="1" applyBorder="1" applyAlignment="1">
      <alignment horizontal="center"/>
    </xf>
    <xf numFmtId="0" fontId="51" fillId="0" borderId="10" xfId="55" applyFont="1" applyFill="1" applyBorder="1" applyAlignment="1">
      <alignment horizontal="center"/>
    </xf>
    <xf numFmtId="173" fontId="4" fillId="0" borderId="4" xfId="35" applyNumberFormat="1" applyFont="1" applyFill="1" applyBorder="1" applyAlignment="1">
      <alignment horizontal="center"/>
    </xf>
    <xf numFmtId="173" fontId="4" fillId="0" borderId="10" xfId="35" applyNumberFormat="1" applyFont="1" applyFill="1" applyBorder="1"/>
    <xf numFmtId="3" fontId="4" fillId="0" borderId="0" xfId="60" applyNumberFormat="1" applyFont="1" applyBorder="1" applyAlignment="1">
      <alignment horizontal="right"/>
    </xf>
    <xf numFmtId="3" fontId="4" fillId="0" borderId="0" xfId="60" applyNumberFormat="1" applyFont="1" applyBorder="1" applyAlignment="1"/>
    <xf numFmtId="165" fontId="4" fillId="0" borderId="0" xfId="60" applyNumberFormat="1" applyFont="1" applyBorder="1" applyAlignment="1"/>
    <xf numFmtId="3" fontId="4" fillId="0" borderId="10" xfId="60" applyNumberFormat="1" applyFont="1" applyFill="1" applyBorder="1" applyAlignment="1"/>
    <xf numFmtId="3" fontId="4" fillId="0" borderId="0" xfId="60" applyNumberFormat="1" applyFont="1" applyFill="1" applyBorder="1" applyAlignment="1"/>
    <xf numFmtId="0" fontId="4" fillId="0" borderId="0" xfId="60" applyFont="1" applyFill="1" applyBorder="1" applyAlignment="1"/>
    <xf numFmtId="0" fontId="4" fillId="0" borderId="0" xfId="60" applyFont="1" applyBorder="1" applyAlignment="1"/>
    <xf numFmtId="0" fontId="4" fillId="0" borderId="10" xfId="60" applyNumberFormat="1" applyFont="1" applyBorder="1" applyAlignment="1" applyProtection="1">
      <alignment horizontal="center"/>
      <protection locked="0"/>
    </xf>
    <xf numFmtId="165" fontId="4" fillId="0" borderId="0" xfId="60" applyNumberFormat="1" applyFont="1" applyFill="1" applyBorder="1" applyAlignment="1"/>
    <xf numFmtId="0" fontId="51" fillId="0" borderId="15" xfId="55" applyFont="1" applyFill="1" applyBorder="1" applyAlignment="1">
      <alignment horizontal="center" wrapText="1"/>
    </xf>
    <xf numFmtId="173" fontId="29" fillId="0" borderId="15" xfId="35" applyNumberFormat="1" applyFont="1" applyFill="1" applyBorder="1"/>
    <xf numFmtId="173" fontId="4" fillId="0" borderId="15" xfId="35" applyNumberFormat="1" applyFont="1" applyFill="1" applyBorder="1" applyAlignment="1">
      <alignment horizontal="center"/>
    </xf>
    <xf numFmtId="173" fontId="4" fillId="0" borderId="16" xfId="35" applyNumberFormat="1" applyFont="1" applyFill="1" applyBorder="1"/>
    <xf numFmtId="0" fontId="4" fillId="0" borderId="15" xfId="55" applyFont="1" applyBorder="1" applyAlignment="1">
      <alignment horizontal="center"/>
    </xf>
    <xf numFmtId="0" fontId="4" fillId="0" borderId="15" xfId="55" applyNumberFormat="1" applyFont="1" applyFill="1" applyBorder="1" applyAlignment="1">
      <alignment horizontal="center"/>
    </xf>
    <xf numFmtId="0" fontId="53" fillId="0" borderId="15" xfId="55" applyFont="1" applyFill="1" applyBorder="1" applyAlignment="1"/>
    <xf numFmtId="0" fontId="29" fillId="0" borderId="15" xfId="55" applyNumberFormat="1" applyFont="1" applyFill="1" applyBorder="1" applyAlignment="1">
      <alignment horizontal="left"/>
    </xf>
    <xf numFmtId="0" fontId="4" fillId="0" borderId="16" xfId="55" applyNumberFormat="1" applyFont="1" applyFill="1" applyBorder="1" applyAlignment="1">
      <alignment horizontal="center"/>
    </xf>
    <xf numFmtId="0" fontId="51" fillId="7" borderId="17" xfId="55" applyFont="1" applyFill="1" applyBorder="1" applyAlignment="1">
      <alignment horizontal="center" wrapText="1"/>
    </xf>
    <xf numFmtId="0" fontId="4" fillId="0" borderId="0" xfId="55" applyNumberFormat="1" applyFont="1" applyBorder="1" applyAlignment="1">
      <alignment horizontal="center"/>
    </xf>
    <xf numFmtId="0" fontId="4" fillId="0" borderId="4" xfId="55" applyFont="1" applyBorder="1" applyAlignment="1"/>
    <xf numFmtId="0" fontId="4" fillId="0" borderId="9" xfId="55" applyFont="1" applyBorder="1" applyAlignment="1"/>
    <xf numFmtId="0" fontId="13" fillId="0" borderId="0" xfId="55" applyFont="1" applyBorder="1" applyAlignment="1"/>
    <xf numFmtId="173" fontId="4" fillId="0" borderId="10" xfId="35" applyNumberFormat="1" applyFont="1" applyFill="1" applyBorder="1" applyAlignment="1">
      <alignment horizontal="right"/>
    </xf>
    <xf numFmtId="0" fontId="54" fillId="0" borderId="0" xfId="55" applyNumberFormat="1" applyFont="1" applyFill="1" applyBorder="1" applyAlignment="1">
      <alignment horizontal="left"/>
    </xf>
    <xf numFmtId="3" fontId="4" fillId="0" borderId="0" xfId="55" applyNumberFormat="1" applyFont="1" applyBorder="1" applyAlignment="1">
      <alignment horizontal="right"/>
    </xf>
    <xf numFmtId="173" fontId="4" fillId="0" borderId="0" xfId="35" applyNumberFormat="1" applyFont="1" applyBorder="1" applyAlignment="1"/>
    <xf numFmtId="173" fontId="4" fillId="0" borderId="9" xfId="35" applyNumberFormat="1" applyFont="1" applyBorder="1" applyAlignment="1">
      <alignment horizontal="right"/>
    </xf>
    <xf numFmtId="173" fontId="4" fillId="0" borderId="9" xfId="35" applyNumberFormat="1" applyFont="1" applyFill="1" applyBorder="1" applyAlignment="1">
      <alignment horizontal="right"/>
    </xf>
    <xf numFmtId="0" fontId="4" fillId="0" borderId="9" xfId="55" applyNumberFormat="1" applyFont="1" applyFill="1" applyBorder="1" applyAlignment="1">
      <alignment horizontal="left"/>
    </xf>
    <xf numFmtId="173" fontId="4" fillId="0" borderId="0" xfId="55" applyNumberFormat="1" applyFont="1" applyBorder="1" applyAlignment="1"/>
    <xf numFmtId="3" fontId="4" fillId="0" borderId="9" xfId="55" applyNumberFormat="1" applyFont="1" applyBorder="1" applyAlignment="1">
      <alignment horizontal="left"/>
    </xf>
    <xf numFmtId="0" fontId="4" fillId="0" borderId="9" xfId="55" applyFont="1" applyBorder="1" applyAlignment="1">
      <alignment horizontal="left"/>
    </xf>
    <xf numFmtId="0" fontId="4" fillId="0" borderId="9" xfId="55" applyFont="1" applyBorder="1" applyAlignment="1">
      <alignment horizontal="right"/>
    </xf>
    <xf numFmtId="0" fontId="11" fillId="6" borderId="0" xfId="60" quotePrefix="1" applyNumberFormat="1" applyFont="1" applyFill="1" applyAlignment="1" applyProtection="1">
      <alignment horizontal="right"/>
      <protection locked="0"/>
    </xf>
    <xf numFmtId="0" fontId="11" fillId="6" borderId="0" xfId="60" applyNumberFormat="1" applyFont="1" applyFill="1"/>
    <xf numFmtId="0" fontId="24" fillId="6" borderId="0" xfId="60" applyFill="1" applyAlignment="1"/>
    <xf numFmtId="172" fontId="6" fillId="0" borderId="0" xfId="0" applyFont="1" applyAlignment="1">
      <alignment horizontal="center"/>
    </xf>
    <xf numFmtId="0" fontId="24" fillId="0" borderId="0" xfId="60" applyFont="1" applyAlignment="1">
      <alignment horizontal="right"/>
    </xf>
    <xf numFmtId="172" fontId="58" fillId="0" borderId="0" xfId="0" applyFont="1"/>
    <xf numFmtId="172" fontId="0" fillId="0" borderId="0" xfId="0"/>
    <xf numFmtId="173" fontId="58"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4" fillId="0" borderId="0" xfId="34" applyNumberFormat="1" applyFont="1" applyFill="1" applyBorder="1" applyAlignment="1">
      <alignment horizontal="center"/>
    </xf>
    <xf numFmtId="0" fontId="50" fillId="0" borderId="0" xfId="55" applyFont="1" applyBorder="1" applyAlignment="1"/>
    <xf numFmtId="0" fontId="46" fillId="0" borderId="0" xfId="55" applyFont="1" applyBorder="1"/>
    <xf numFmtId="172" fontId="11" fillId="0" borderId="0" xfId="0" applyFont="1" applyFill="1" applyProtection="1">
      <protection locked="0"/>
    </xf>
    <xf numFmtId="172" fontId="48" fillId="0" borderId="0" xfId="0" applyFont="1" applyFill="1" applyAlignment="1" applyProtection="1">
      <alignment horizontal="center"/>
      <protection locked="0"/>
    </xf>
    <xf numFmtId="173" fontId="48" fillId="0" borderId="0" xfId="0" applyNumberFormat="1" applyFont="1" applyFill="1" applyProtection="1">
      <protection locked="0"/>
    </xf>
    <xf numFmtId="172" fontId="47" fillId="0" borderId="0" xfId="0" applyFont="1" applyFill="1" applyAlignment="1" applyProtection="1">
      <alignment horizontal="center"/>
      <protection locked="0"/>
    </xf>
    <xf numFmtId="173" fontId="48" fillId="0" borderId="4" xfId="0" applyNumberFormat="1" applyFont="1" applyFill="1" applyBorder="1" applyProtection="1">
      <protection locked="0"/>
    </xf>
    <xf numFmtId="172" fontId="48" fillId="0" borderId="4" xfId="0" applyFont="1" applyFill="1" applyBorder="1" applyAlignment="1" applyProtection="1">
      <alignment horizontal="center"/>
      <protection locked="0"/>
    </xf>
    <xf numFmtId="172" fontId="11" fillId="0" borderId="4" xfId="0" applyFont="1" applyFill="1" applyBorder="1" applyProtection="1">
      <protection locked="0"/>
    </xf>
    <xf numFmtId="0" fontId="47" fillId="0" borderId="0" xfId="0" applyNumberFormat="1" applyFont="1" applyFill="1" applyAlignment="1" applyProtection="1">
      <alignment horizontal="left"/>
      <protection locked="0"/>
    </xf>
    <xf numFmtId="172" fontId="47" fillId="0" borderId="0" xfId="0" applyFont="1" applyFill="1" applyAlignment="1" applyProtection="1">
      <alignment horizontal="center" wrapText="1"/>
      <protection locked="0"/>
    </xf>
    <xf numFmtId="173" fontId="47" fillId="0" borderId="0" xfId="0" applyNumberFormat="1" applyFont="1" applyFill="1" applyAlignment="1" applyProtection="1">
      <alignment horizontal="center" wrapText="1"/>
      <protection locked="0"/>
    </xf>
    <xf numFmtId="173" fontId="47" fillId="0" borderId="0" xfId="0" applyNumberFormat="1" applyFont="1" applyFill="1" applyAlignment="1" applyProtection="1">
      <alignment horizontal="center"/>
      <protection locked="0"/>
    </xf>
    <xf numFmtId="178" fontId="48" fillId="0" borderId="0" xfId="64" applyNumberFormat="1" applyFont="1" applyFill="1" applyProtection="1">
      <protection locked="0"/>
    </xf>
    <xf numFmtId="173" fontId="48" fillId="0" borderId="0" xfId="0" applyNumberFormat="1" applyFont="1" applyFill="1" applyAlignment="1" applyProtection="1">
      <alignment horizontal="center"/>
      <protection locked="0"/>
    </xf>
    <xf numFmtId="173" fontId="48" fillId="0" borderId="6" xfId="32" applyNumberFormat="1" applyFont="1" applyFill="1" applyBorder="1" applyProtection="1">
      <protection locked="0"/>
    </xf>
    <xf numFmtId="172" fontId="0" fillId="0" borderId="0" xfId="0" applyFill="1"/>
    <xf numFmtId="0" fontId="4" fillId="0" borderId="0" xfId="53" applyFont="1"/>
    <xf numFmtId="172" fontId="58" fillId="0" borderId="0" xfId="0" applyFont="1" applyFill="1" applyProtection="1">
      <protection locked="0"/>
    </xf>
    <xf numFmtId="172" fontId="0" fillId="0" borderId="0" xfId="0" applyFill="1" applyProtection="1">
      <protection locked="0"/>
    </xf>
    <xf numFmtId="172" fontId="48" fillId="0" borderId="0" xfId="0" applyFont="1" applyFill="1" applyProtection="1">
      <protection locked="0"/>
    </xf>
    <xf numFmtId="172" fontId="48" fillId="0" borderId="24" xfId="0" applyFont="1" applyFill="1" applyBorder="1" applyAlignment="1" applyProtection="1">
      <alignment horizontal="center" wrapText="1"/>
      <protection locked="0"/>
    </xf>
    <xf numFmtId="172" fontId="48" fillId="0" borderId="25" xfId="0" applyFont="1" applyFill="1" applyBorder="1" applyAlignment="1" applyProtection="1">
      <alignment horizontal="center" wrapText="1"/>
      <protection locked="0"/>
    </xf>
    <xf numFmtId="172" fontId="48" fillId="0" borderId="25" xfId="0" applyFont="1" applyFill="1" applyBorder="1" applyProtection="1">
      <protection locked="0"/>
    </xf>
    <xf numFmtId="5" fontId="48" fillId="0" borderId="26" xfId="0" applyNumberFormat="1" applyFont="1" applyFill="1" applyBorder="1" applyAlignment="1" applyProtection="1">
      <alignment horizontal="center"/>
      <protection locked="0"/>
    </xf>
    <xf numFmtId="173" fontId="48" fillId="0" borderId="0" xfId="0" applyNumberFormat="1" applyFont="1" applyFill="1" applyAlignment="1" applyProtection="1">
      <alignment horizontal="left"/>
      <protection locked="0"/>
    </xf>
    <xf numFmtId="172" fontId="55" fillId="0" borderId="0" xfId="0" applyFont="1" applyFill="1" applyAlignment="1" applyProtection="1">
      <alignment horizontal="center"/>
      <protection locked="0"/>
    </xf>
    <xf numFmtId="173" fontId="48" fillId="0" borderId="0" xfId="32" applyNumberFormat="1" applyFont="1" applyFill="1" applyProtection="1">
      <protection locked="0"/>
    </xf>
    <xf numFmtId="178" fontId="48" fillId="0" borderId="0" xfId="0" applyNumberFormat="1" applyFont="1" applyFill="1" applyProtection="1">
      <protection locked="0"/>
    </xf>
    <xf numFmtId="173" fontId="47" fillId="0" borderId="0" xfId="32" applyNumberFormat="1" applyFont="1" applyFill="1" applyProtection="1">
      <protection locked="0"/>
    </xf>
    <xf numFmtId="172" fontId="58" fillId="0" borderId="0" xfId="0" applyFont="1" applyFill="1"/>
    <xf numFmtId="173" fontId="47" fillId="0" borderId="0" xfId="32" applyNumberFormat="1" applyFont="1" applyFill="1" applyAlignment="1" applyProtection="1">
      <alignment horizontal="center"/>
      <protection locked="0"/>
    </xf>
    <xf numFmtId="172" fontId="55" fillId="0" borderId="0" xfId="0" applyFont="1" applyFill="1" applyProtection="1">
      <protection locked="0"/>
    </xf>
    <xf numFmtId="173" fontId="47" fillId="0" borderId="0" xfId="0" applyNumberFormat="1" applyFont="1" applyFill="1" applyProtection="1">
      <protection locked="0"/>
    </xf>
    <xf numFmtId="174" fontId="58" fillId="0" borderId="0" xfId="41" applyNumberFormat="1" applyFont="1" applyFill="1"/>
    <xf numFmtId="0" fontId="6" fillId="0" borderId="0" xfId="55" applyFont="1" applyFill="1"/>
    <xf numFmtId="0" fontId="33" fillId="0" borderId="0" xfId="55" applyFont="1" applyFill="1" applyBorder="1"/>
    <xf numFmtId="0" fontId="4" fillId="0" borderId="0" xfId="60" applyNumberFormat="1" applyFont="1" applyFill="1" applyBorder="1" applyAlignment="1"/>
    <xf numFmtId="0" fontId="63" fillId="0" borderId="0" xfId="55" applyNumberFormat="1" applyFont="1" applyFill="1" applyBorder="1" applyAlignment="1">
      <alignment horizontal="left"/>
    </xf>
    <xf numFmtId="172" fontId="0" fillId="0" borderId="0" xfId="0" applyFill="1" applyBorder="1" applyAlignment="1"/>
    <xf numFmtId="172" fontId="14" fillId="0" borderId="0" xfId="0" applyFont="1" applyFill="1" applyBorder="1" applyAlignment="1"/>
    <xf numFmtId="0" fontId="14" fillId="0" borderId="0" xfId="55" applyFont="1" applyFill="1" applyBorder="1" applyAlignment="1"/>
    <xf numFmtId="3" fontId="14" fillId="0" borderId="0" xfId="55" applyNumberFormat="1" applyFont="1" applyFill="1" applyBorder="1" applyAlignment="1">
      <alignment horizontal="center"/>
    </xf>
    <xf numFmtId="0" fontId="14" fillId="0" borderId="0" xfId="55" applyFont="1" applyFill="1" applyBorder="1" applyAlignment="1">
      <alignment horizontal="center"/>
    </xf>
    <xf numFmtId="172" fontId="14" fillId="0" borderId="9" xfId="0" applyFont="1" applyFill="1" applyBorder="1" applyAlignment="1"/>
    <xf numFmtId="0" fontId="29" fillId="0" borderId="16" xfId="55" applyFont="1" applyFill="1" applyBorder="1" applyAlignment="1">
      <alignment horizontal="center" wrapText="1"/>
    </xf>
    <xf numFmtId="0" fontId="29" fillId="0" borderId="15" xfId="54" applyFont="1" applyFill="1" applyBorder="1" applyAlignment="1">
      <alignment horizontal="center" wrapText="1"/>
    </xf>
    <xf numFmtId="0" fontId="56" fillId="0" borderId="10" xfId="55" applyNumberFormat="1" applyFont="1" applyFill="1" applyBorder="1" applyAlignment="1">
      <alignment horizontal="center"/>
    </xf>
    <xf numFmtId="0" fontId="56" fillId="0" borderId="0" xfId="55" applyFont="1" applyFill="1" applyBorder="1"/>
    <xf numFmtId="0" fontId="56" fillId="0" borderId="0" xfId="55" applyFont="1" applyFill="1" applyBorder="1" applyAlignment="1"/>
    <xf numFmtId="3" fontId="56" fillId="0" borderId="0" xfId="55" applyNumberFormat="1" applyFont="1" applyFill="1" applyBorder="1" applyAlignment="1">
      <alignment horizontal="center"/>
    </xf>
    <xf numFmtId="0" fontId="56" fillId="0" borderId="10" xfId="55" applyFont="1" applyFill="1" applyBorder="1"/>
    <xf numFmtId="0" fontId="56" fillId="0" borderId="9" xfId="55" applyFont="1" applyFill="1" applyBorder="1"/>
    <xf numFmtId="0" fontId="56" fillId="0" borderId="13" xfId="55" applyNumberFormat="1" applyFont="1" applyFill="1" applyBorder="1" applyAlignment="1">
      <alignment horizontal="center"/>
    </xf>
    <xf numFmtId="0" fontId="56" fillId="0" borderId="4" xfId="55" applyNumberFormat="1" applyFont="1" applyFill="1" applyBorder="1" applyAlignment="1">
      <alignment horizontal="right"/>
    </xf>
    <xf numFmtId="0" fontId="56" fillId="0" borderId="4" xfId="55" applyNumberFormat="1" applyFont="1" applyFill="1" applyBorder="1" applyAlignment="1">
      <alignment horizontal="left"/>
    </xf>
    <xf numFmtId="0" fontId="56" fillId="0" borderId="4" xfId="55" applyFont="1" applyFill="1" applyBorder="1" applyAlignment="1"/>
    <xf numFmtId="0" fontId="56" fillId="0" borderId="4" xfId="55" applyNumberFormat="1" applyFont="1" applyFill="1" applyBorder="1" applyAlignment="1">
      <alignment horizontal="center"/>
    </xf>
    <xf numFmtId="0" fontId="56" fillId="0" borderId="0" xfId="55" applyFont="1" applyFill="1"/>
    <xf numFmtId="173" fontId="56" fillId="0" borderId="4" xfId="55" applyNumberFormat="1" applyFont="1" applyFill="1" applyBorder="1" applyAlignment="1">
      <alignment horizontal="center"/>
    </xf>
    <xf numFmtId="173" fontId="24" fillId="0" borderId="0" xfId="32" applyNumberFormat="1" applyFont="1" applyFill="1" applyAlignment="1"/>
    <xf numFmtId="0" fontId="11" fillId="0" borderId="0" xfId="60" quotePrefix="1" applyNumberFormat="1" applyFont="1" applyFill="1" applyAlignment="1">
      <alignment horizontal="left"/>
    </xf>
    <xf numFmtId="0" fontId="39" fillId="0" borderId="0" xfId="60" applyNumberFormat="1" applyFont="1" applyFill="1" applyAlignment="1" applyProtection="1">
      <alignment horizontal="center"/>
      <protection locked="0"/>
    </xf>
    <xf numFmtId="0" fontId="14" fillId="0" borderId="0" xfId="55" applyNumberFormat="1" applyFont="1" applyFill="1" applyBorder="1" applyAlignment="1">
      <alignment horizontal="left"/>
    </xf>
    <xf numFmtId="0" fontId="11" fillId="0" borderId="6" xfId="60" applyNumberFormat="1" applyFont="1" applyBorder="1" applyAlignment="1"/>
    <xf numFmtId="3" fontId="11" fillId="0" borderId="6" xfId="60" applyNumberFormat="1" applyFont="1" applyFill="1" applyBorder="1" applyAlignment="1"/>
    <xf numFmtId="173" fontId="11" fillId="0" borderId="6" xfId="32" applyNumberFormat="1" applyFont="1" applyFill="1" applyBorder="1" applyAlignment="1"/>
    <xf numFmtId="3" fontId="11" fillId="0" borderId="6" xfId="60" applyNumberFormat="1" applyFont="1" applyBorder="1" applyAlignment="1"/>
    <xf numFmtId="173" fontId="11" fillId="0" borderId="6" xfId="32" applyNumberFormat="1" applyFont="1" applyBorder="1" applyAlignment="1"/>
    <xf numFmtId="0" fontId="0" fillId="0" borderId="6" xfId="60" applyFont="1" applyBorder="1" applyAlignment="1"/>
    <xf numFmtId="0" fontId="11" fillId="0" borderId="6" xfId="60" applyNumberFormat="1" applyFont="1" applyFill="1" applyBorder="1" applyAlignment="1"/>
    <xf numFmtId="173" fontId="24" fillId="0" borderId="6" xfId="32" applyNumberFormat="1" applyFont="1" applyBorder="1" applyAlignment="1"/>
    <xf numFmtId="0" fontId="24" fillId="0" borderId="6" xfId="60" applyBorder="1" applyAlignment="1"/>
    <xf numFmtId="10" fontId="11" fillId="0" borderId="6" xfId="60" applyNumberFormat="1" applyFont="1" applyBorder="1" applyAlignment="1">
      <alignment horizontal="left"/>
    </xf>
    <xf numFmtId="0" fontId="11" fillId="6" borderId="0" xfId="60" applyNumberFormat="1" applyFont="1" applyFill="1" applyAlignment="1">
      <alignment horizontal="left"/>
    </xf>
    <xf numFmtId="3" fontId="0" fillId="0" borderId="0" xfId="60" applyNumberFormat="1" applyFont="1" applyAlignment="1">
      <alignment horizontal="right"/>
    </xf>
    <xf numFmtId="43" fontId="14" fillId="0" borderId="0" xfId="55" applyNumberFormat="1" applyFont="1" applyFill="1" applyBorder="1" applyAlignment="1">
      <alignment horizontal="center"/>
    </xf>
    <xf numFmtId="173" fontId="4" fillId="6" borderId="0" xfId="32" applyNumberFormat="1" applyFont="1" applyFill="1" applyBorder="1"/>
    <xf numFmtId="0" fontId="54" fillId="0" borderId="15" xfId="55" applyFont="1" applyBorder="1" applyAlignment="1">
      <alignment horizontal="left"/>
    </xf>
    <xf numFmtId="0" fontId="4" fillId="0" borderId="9" xfId="55" applyFont="1" applyFill="1" applyBorder="1" applyAlignment="1">
      <alignment horizontal="left" wrapText="1"/>
    </xf>
    <xf numFmtId="0" fontId="4" fillId="0" borderId="12" xfId="55" applyFont="1" applyFill="1" applyBorder="1" applyAlignment="1">
      <alignment horizontal="left" wrapText="1"/>
    </xf>
    <xf numFmtId="173" fontId="11" fillId="0" borderId="0" xfId="32" applyNumberFormat="1" applyFont="1" applyFill="1"/>
    <xf numFmtId="0" fontId="4" fillId="6" borderId="0" xfId="55" applyFont="1" applyFill="1" applyBorder="1" applyAlignment="1">
      <alignment horizontal="center"/>
    </xf>
    <xf numFmtId="0" fontId="48" fillId="0" borderId="0" xfId="55" applyFont="1" applyFill="1" applyAlignment="1">
      <alignment vertical="top"/>
    </xf>
    <xf numFmtId="0" fontId="4" fillId="0" borderId="0" xfId="55" applyFill="1" applyAlignment="1">
      <alignment vertical="top"/>
    </xf>
    <xf numFmtId="179" fontId="11" fillId="0" borderId="0" xfId="32" applyNumberFormat="1" applyFont="1" applyFill="1" applyAlignment="1">
      <alignment horizontal="right"/>
    </xf>
    <xf numFmtId="10" fontId="11" fillId="0" borderId="0" xfId="64" applyNumberFormat="1" applyFont="1" applyBorder="1" applyAlignment="1"/>
    <xf numFmtId="172" fontId="48" fillId="6" borderId="0" xfId="0" applyFont="1" applyFill="1" applyProtection="1">
      <protection locked="0"/>
    </xf>
    <xf numFmtId="0" fontId="48" fillId="6" borderId="0" xfId="0" applyNumberFormat="1" applyFont="1" applyFill="1" applyAlignment="1" applyProtection="1">
      <alignment horizontal="center"/>
      <protection locked="0"/>
    </xf>
    <xf numFmtId="0" fontId="48" fillId="0" borderId="0" xfId="0" applyNumberFormat="1" applyFont="1" applyFill="1" applyAlignment="1" applyProtection="1">
      <alignment horizontal="center"/>
      <protection locked="0"/>
    </xf>
    <xf numFmtId="169" fontId="48" fillId="6" borderId="26" xfId="0" applyNumberFormat="1" applyFont="1" applyFill="1" applyBorder="1" applyAlignment="1" applyProtection="1">
      <alignment horizontal="center"/>
      <protection locked="0"/>
    </xf>
    <xf numFmtId="173" fontId="48" fillId="0" borderId="0" xfId="32" applyNumberFormat="1" applyFont="1" applyFill="1"/>
    <xf numFmtId="0" fontId="11" fillId="0" borderId="0" xfId="0" applyNumberFormat="1" applyFont="1" applyFill="1" applyBorder="1" applyAlignment="1"/>
    <xf numFmtId="0" fontId="64" fillId="0" borderId="0" xfId="0" applyNumberFormat="1" applyFont="1" applyFill="1" applyBorder="1" applyAlignment="1"/>
    <xf numFmtId="0" fontId="4" fillId="0" borderId="0" xfId="55" applyNumberFormat="1" applyFont="1" applyBorder="1" applyAlignment="1">
      <alignment horizontal="left"/>
    </xf>
    <xf numFmtId="164" fontId="4" fillId="6" borderId="0" xfId="66" applyNumberFormat="1" applyFont="1" applyFill="1" applyBorder="1" applyAlignment="1">
      <alignment horizontal="center"/>
    </xf>
    <xf numFmtId="9" fontId="4" fillId="6" borderId="0" xfId="66" applyFont="1" applyFill="1" applyBorder="1" applyAlignment="1">
      <alignment horizontal="center"/>
    </xf>
    <xf numFmtId="172" fontId="6" fillId="0" borderId="0" xfId="0" applyFont="1" applyFill="1" applyAlignment="1" applyProtection="1">
      <protection locked="0"/>
    </xf>
    <xf numFmtId="172" fontId="4" fillId="0" borderId="0" xfId="0" applyFont="1"/>
    <xf numFmtId="173" fontId="4" fillId="0" borderId="0" xfId="35" applyNumberFormat="1" applyFont="1" applyAlignment="1"/>
    <xf numFmtId="172" fontId="4" fillId="0" borderId="0" xfId="0" applyFont="1" applyBorder="1" applyAlignment="1">
      <alignment horizontal="centerContinuous"/>
    </xf>
    <xf numFmtId="0" fontId="4" fillId="0" borderId="10" xfId="55" applyFont="1" applyFill="1" applyBorder="1"/>
    <xf numFmtId="0" fontId="66" fillId="0" borderId="0" xfId="53" applyFont="1"/>
    <xf numFmtId="0" fontId="11" fillId="0" borderId="0" xfId="53" applyFont="1"/>
    <xf numFmtId="0" fontId="11" fillId="0" borderId="0" xfId="53" applyFont="1" applyFill="1"/>
    <xf numFmtId="0" fontId="11" fillId="0" borderId="0" xfId="53" applyFont="1" applyFill="1" applyAlignment="1"/>
    <xf numFmtId="0" fontId="11" fillId="0" borderId="0" xfId="53" applyFont="1" applyFill="1" applyAlignment="1">
      <alignment horizontal="center"/>
    </xf>
    <xf numFmtId="0" fontId="11" fillId="0" borderId="0" xfId="53" applyFont="1" applyBorder="1"/>
    <xf numFmtId="0" fontId="11" fillId="0" borderId="0" xfId="53" applyFont="1" applyBorder="1" applyAlignment="1"/>
    <xf numFmtId="0" fontId="11" fillId="0" borderId="0" xfId="53" applyFont="1" applyFill="1" applyBorder="1"/>
    <xf numFmtId="41" fontId="6" fillId="0" borderId="0" xfId="53" applyNumberFormat="1" applyFont="1" applyBorder="1" applyAlignment="1">
      <alignment horizontal="center"/>
    </xf>
    <xf numFmtId="0" fontId="11" fillId="0" borderId="0" xfId="53" applyFont="1" applyFill="1" applyBorder="1" applyAlignment="1">
      <alignment horizontal="left"/>
    </xf>
    <xf numFmtId="0" fontId="11" fillId="0" borderId="0" xfId="53" applyFont="1" applyAlignment="1">
      <alignment horizontal="left"/>
    </xf>
    <xf numFmtId="0" fontId="48" fillId="0" borderId="0" xfId="53" applyFont="1" applyFill="1" applyAlignment="1">
      <alignment horizontal="left"/>
    </xf>
    <xf numFmtId="0" fontId="48" fillId="0" borderId="0" xfId="53" applyFont="1" applyFill="1"/>
    <xf numFmtId="0" fontId="48" fillId="0" borderId="0" xfId="53" applyFont="1" applyFill="1" applyAlignment="1">
      <alignment horizontal="right"/>
    </xf>
    <xf numFmtId="37" fontId="48" fillId="0" borderId="0" xfId="53" applyNumberFormat="1" applyFont="1" applyFill="1"/>
    <xf numFmtId="37" fontId="48" fillId="0" borderId="0" xfId="53" applyNumberFormat="1" applyFont="1" applyFill="1" applyAlignment="1">
      <alignment horizontal="left"/>
    </xf>
    <xf numFmtId="43" fontId="48" fillId="0" borderId="0" xfId="53" applyNumberFormat="1" applyFont="1" applyFill="1"/>
    <xf numFmtId="0" fontId="48" fillId="6" borderId="30" xfId="53" applyFont="1" applyFill="1" applyBorder="1"/>
    <xf numFmtId="41" fontId="48" fillId="6" borderId="7" xfId="53" applyNumberFormat="1" applyFont="1" applyFill="1" applyBorder="1"/>
    <xf numFmtId="41" fontId="48" fillId="6" borderId="7" xfId="33" applyFont="1" applyFill="1" applyBorder="1"/>
    <xf numFmtId="0" fontId="48" fillId="6" borderId="31" xfId="53" applyFont="1" applyFill="1" applyBorder="1" applyAlignment="1">
      <alignment wrapText="1"/>
    </xf>
    <xf numFmtId="0" fontId="48" fillId="6" borderId="30" xfId="53" applyFont="1" applyFill="1" applyBorder="1" applyAlignment="1">
      <alignment wrapText="1"/>
    </xf>
    <xf numFmtId="0" fontId="48" fillId="6" borderId="7" xfId="53" applyFont="1" applyFill="1" applyBorder="1"/>
    <xf numFmtId="37" fontId="48" fillId="0" borderId="31" xfId="53" applyNumberFormat="1" applyFont="1" applyFill="1" applyBorder="1" applyAlignment="1">
      <alignment wrapText="1"/>
    </xf>
    <xf numFmtId="173" fontId="48" fillId="6" borderId="7" xfId="32" applyNumberFormat="1" applyFont="1" applyFill="1" applyBorder="1"/>
    <xf numFmtId="173" fontId="48" fillId="6" borderId="7" xfId="32" applyNumberFormat="1" applyFont="1" applyFill="1" applyBorder="1" applyAlignment="1">
      <alignment horizontal="right"/>
    </xf>
    <xf numFmtId="173" fontId="48" fillId="6" borderId="7" xfId="32" applyNumberFormat="1" applyFont="1" applyFill="1" applyBorder="1" applyAlignment="1">
      <alignment horizontal="center"/>
    </xf>
    <xf numFmtId="173" fontId="48" fillId="6" borderId="32" xfId="32" applyNumberFormat="1" applyFont="1" applyFill="1" applyBorder="1"/>
    <xf numFmtId="0" fontId="48" fillId="6" borderId="33" xfId="53" applyFont="1" applyFill="1" applyBorder="1" applyAlignment="1">
      <alignment wrapText="1"/>
    </xf>
    <xf numFmtId="0" fontId="48" fillId="0" borderId="0" xfId="53" applyFont="1" applyBorder="1"/>
    <xf numFmtId="0" fontId="48" fillId="0" borderId="0" xfId="53" applyFont="1" applyFill="1" applyBorder="1" applyAlignment="1">
      <alignment wrapText="1"/>
    </xf>
    <xf numFmtId="0" fontId="48" fillId="0" borderId="0" xfId="53" applyFont="1" applyBorder="1" applyAlignment="1">
      <alignment horizontal="left"/>
    </xf>
    <xf numFmtId="37" fontId="48" fillId="6" borderId="34" xfId="53" applyNumberFormat="1" applyFont="1" applyFill="1" applyBorder="1" applyAlignment="1">
      <alignment horizontal="center"/>
    </xf>
    <xf numFmtId="37" fontId="48" fillId="6" borderId="7" xfId="53" applyNumberFormat="1" applyFont="1" applyFill="1" applyBorder="1"/>
    <xf numFmtId="0" fontId="48" fillId="6" borderId="34" xfId="53" applyFont="1" applyFill="1" applyBorder="1" applyAlignment="1">
      <alignment horizontal="center"/>
    </xf>
    <xf numFmtId="173" fontId="48" fillId="0" borderId="7" xfId="32" applyNumberFormat="1" applyFont="1" applyFill="1" applyBorder="1"/>
    <xf numFmtId="0" fontId="48" fillId="0" borderId="0" xfId="53" applyFont="1" applyFill="1" applyBorder="1"/>
    <xf numFmtId="37" fontId="48" fillId="0" borderId="0" xfId="53" applyNumberFormat="1" applyFont="1" applyFill="1" applyBorder="1"/>
    <xf numFmtId="0" fontId="48" fillId="0" borderId="0" xfId="53" applyFont="1" applyFill="1" applyBorder="1" applyAlignment="1">
      <alignment horizontal="center"/>
    </xf>
    <xf numFmtId="37" fontId="48" fillId="0" borderId="0" xfId="53" applyNumberFormat="1" applyFont="1" applyFill="1" applyBorder="1" applyAlignment="1">
      <alignment horizontal="center"/>
    </xf>
    <xf numFmtId="173" fontId="48" fillId="6" borderId="32" xfId="32" applyNumberFormat="1" applyFont="1" applyFill="1" applyBorder="1" applyAlignment="1">
      <alignment horizontal="right"/>
    </xf>
    <xf numFmtId="173" fontId="48" fillId="0" borderId="0" xfId="53" applyNumberFormat="1"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Continuous"/>
    </xf>
    <xf numFmtId="0" fontId="48" fillId="0" borderId="0" xfId="53" applyFont="1" applyFill="1" applyBorder="1" applyAlignment="1">
      <alignment horizontal="left"/>
    </xf>
    <xf numFmtId="0" fontId="68" fillId="0" borderId="0" xfId="53" applyFont="1" applyFill="1" applyAlignment="1">
      <alignment horizontal="center"/>
    </xf>
    <xf numFmtId="0" fontId="48" fillId="0" borderId="0" xfId="53" applyFont="1" applyFill="1" applyAlignment="1">
      <alignment horizontal="center"/>
    </xf>
    <xf numFmtId="0" fontId="48" fillId="0" borderId="34" xfId="53" applyFont="1" applyBorder="1"/>
    <xf numFmtId="173" fontId="48" fillId="0" borderId="7" xfId="32" applyNumberFormat="1" applyFont="1" applyBorder="1"/>
    <xf numFmtId="0" fontId="48" fillId="0" borderId="35" xfId="53" applyFont="1" applyFill="1" applyBorder="1"/>
    <xf numFmtId="0" fontId="48" fillId="0" borderId="36" xfId="53" applyFont="1" applyFill="1" applyBorder="1"/>
    <xf numFmtId="0" fontId="48" fillId="0" borderId="37" xfId="53" applyFont="1" applyFill="1" applyBorder="1"/>
    <xf numFmtId="173" fontId="48" fillId="0" borderId="38" xfId="32" applyNumberFormat="1" applyFont="1" applyFill="1" applyBorder="1"/>
    <xf numFmtId="0" fontId="48" fillId="0" borderId="39" xfId="53" applyFont="1" applyFill="1" applyBorder="1" applyAlignment="1">
      <alignment wrapText="1"/>
    </xf>
    <xf numFmtId="37" fontId="48" fillId="0" borderId="0" xfId="53" applyNumberFormat="1" applyFont="1" applyFill="1" applyBorder="1" applyAlignment="1">
      <alignment wrapText="1"/>
    </xf>
    <xf numFmtId="0" fontId="48" fillId="0" borderId="30" xfId="53" applyFont="1" applyFill="1" applyBorder="1" applyAlignment="1"/>
    <xf numFmtId="0" fontId="48" fillId="0" borderId="30" xfId="53" applyFont="1" applyFill="1" applyBorder="1"/>
    <xf numFmtId="0" fontId="48" fillId="0" borderId="40" xfId="53" applyFont="1" applyFill="1" applyBorder="1"/>
    <xf numFmtId="0" fontId="48" fillId="0" borderId="34" xfId="53" applyFont="1" applyFill="1" applyBorder="1" applyAlignment="1"/>
    <xf numFmtId="0" fontId="48" fillId="0" borderId="34" xfId="53" applyFont="1" applyFill="1" applyBorder="1"/>
    <xf numFmtId="0" fontId="48" fillId="0" borderId="41" xfId="53" applyFont="1" applyFill="1" applyBorder="1"/>
    <xf numFmtId="173" fontId="48" fillId="0" borderId="38" xfId="32" applyNumberFormat="1" applyFont="1" applyFill="1" applyBorder="1" applyAlignment="1">
      <alignment horizontal="right"/>
    </xf>
    <xf numFmtId="0" fontId="46" fillId="0" borderId="0" xfId="53" applyFont="1" applyFill="1" applyBorder="1"/>
    <xf numFmtId="41" fontId="48" fillId="0" borderId="0" xfId="53" applyNumberFormat="1" applyFont="1" applyFill="1" applyBorder="1" applyAlignment="1">
      <alignment horizontal="center"/>
    </xf>
    <xf numFmtId="0" fontId="68" fillId="0" borderId="0" xfId="53" applyFont="1" applyFill="1" applyAlignment="1">
      <alignment horizontal="left"/>
    </xf>
    <xf numFmtId="0" fontId="68" fillId="0" borderId="0" xfId="53" applyFont="1" applyFill="1"/>
    <xf numFmtId="173" fontId="68" fillId="0" borderId="0" xfId="32" applyNumberFormat="1" applyFont="1" applyFill="1"/>
    <xf numFmtId="37" fontId="68" fillId="0" borderId="0" xfId="53" applyNumberFormat="1" applyFont="1" applyFill="1"/>
    <xf numFmtId="37" fontId="68" fillId="0" borderId="0" xfId="53" applyNumberFormat="1" applyFont="1" applyFill="1" applyAlignment="1">
      <alignment horizontal="left"/>
    </xf>
    <xf numFmtId="43" fontId="68" fillId="0" borderId="0" xfId="53" applyNumberFormat="1" applyFont="1" applyFill="1"/>
    <xf numFmtId="0" fontId="68" fillId="6" borderId="30" xfId="53" applyFont="1" applyFill="1" applyBorder="1"/>
    <xf numFmtId="41" fontId="68" fillId="6" borderId="7" xfId="53" applyNumberFormat="1" applyFont="1" applyFill="1" applyBorder="1"/>
    <xf numFmtId="41" fontId="68" fillId="6" borderId="7" xfId="33" applyFont="1" applyFill="1" applyBorder="1"/>
    <xf numFmtId="0" fontId="68" fillId="6" borderId="31" xfId="53" applyFont="1" applyFill="1" applyBorder="1" applyAlignment="1">
      <alignment wrapText="1"/>
    </xf>
    <xf numFmtId="0" fontId="68" fillId="6" borderId="30" xfId="53" applyFont="1" applyFill="1" applyBorder="1" applyAlignment="1">
      <alignment wrapText="1"/>
    </xf>
    <xf numFmtId="0" fontId="68" fillId="6" borderId="7" xfId="53" applyFont="1" applyFill="1" applyBorder="1"/>
    <xf numFmtId="37" fontId="68" fillId="0" borderId="31" xfId="53" applyNumberFormat="1" applyFont="1" applyFill="1" applyBorder="1" applyAlignment="1">
      <alignment wrapText="1"/>
    </xf>
    <xf numFmtId="173" fontId="68" fillId="6" borderId="7" xfId="32" applyNumberFormat="1" applyFont="1" applyFill="1" applyBorder="1"/>
    <xf numFmtId="173" fontId="68" fillId="6" borderId="7" xfId="32" applyNumberFormat="1" applyFont="1" applyFill="1" applyBorder="1" applyAlignment="1">
      <alignment horizontal="right"/>
    </xf>
    <xf numFmtId="173" fontId="68" fillId="6" borderId="7" xfId="32" applyNumberFormat="1" applyFont="1" applyFill="1" applyBorder="1" applyAlignment="1">
      <alignment horizontal="center"/>
    </xf>
    <xf numFmtId="173" fontId="68" fillId="6" borderId="32" xfId="32" applyNumberFormat="1" applyFont="1" applyFill="1" applyBorder="1"/>
    <xf numFmtId="0" fontId="68" fillId="6" borderId="33" xfId="53" applyFont="1" applyFill="1" applyBorder="1" applyAlignment="1">
      <alignment wrapText="1"/>
    </xf>
    <xf numFmtId="0" fontId="68" fillId="0" borderId="0" xfId="53" applyFont="1" applyBorder="1"/>
    <xf numFmtId="0" fontId="68" fillId="0" borderId="0" xfId="53" applyFont="1" applyFill="1" applyBorder="1" applyAlignment="1">
      <alignment wrapText="1"/>
    </xf>
    <xf numFmtId="0" fontId="68" fillId="0" borderId="0" xfId="53" applyFont="1" applyBorder="1" applyAlignment="1">
      <alignment horizontal="left"/>
    </xf>
    <xf numFmtId="37" fontId="68" fillId="6" borderId="34" xfId="53" applyNumberFormat="1" applyFont="1" applyFill="1" applyBorder="1" applyAlignment="1">
      <alignment horizontal="center"/>
    </xf>
    <xf numFmtId="37" fontId="68" fillId="6" borderId="7" xfId="53" applyNumberFormat="1" applyFont="1" applyFill="1" applyBorder="1"/>
    <xf numFmtId="0" fontId="68" fillId="6" borderId="34" xfId="53" applyFont="1" applyFill="1" applyBorder="1" applyAlignment="1">
      <alignment horizontal="center"/>
    </xf>
    <xf numFmtId="173" fontId="68" fillId="0" borderId="7" xfId="32" applyNumberFormat="1" applyFont="1" applyFill="1" applyBorder="1"/>
    <xf numFmtId="0" fontId="68" fillId="0" borderId="0" xfId="53" applyFont="1" applyFill="1" applyBorder="1"/>
    <xf numFmtId="37" fontId="68" fillId="0" borderId="0" xfId="53" applyNumberFormat="1" applyFont="1" applyFill="1" applyBorder="1"/>
    <xf numFmtId="0" fontId="68" fillId="0" borderId="0" xfId="53" applyFont="1" applyFill="1" applyBorder="1" applyAlignment="1">
      <alignment horizontal="center"/>
    </xf>
    <xf numFmtId="37" fontId="68" fillId="0" borderId="0" xfId="53" applyNumberFormat="1" applyFont="1" applyFill="1" applyBorder="1" applyAlignment="1">
      <alignment horizontal="center"/>
    </xf>
    <xf numFmtId="173" fontId="68" fillId="6" borderId="32" xfId="32" applyNumberFormat="1" applyFont="1" applyFill="1" applyBorder="1" applyAlignment="1">
      <alignment horizontal="right"/>
    </xf>
    <xf numFmtId="173" fontId="68" fillId="0" borderId="0" xfId="53" applyNumberFormat="1" applyFont="1" applyFill="1" applyBorder="1" applyAlignment="1">
      <alignment wrapText="1"/>
    </xf>
    <xf numFmtId="0" fontId="68" fillId="0" borderId="0" xfId="53" applyFont="1" applyBorder="1" applyAlignment="1">
      <alignment wrapText="1"/>
    </xf>
    <xf numFmtId="0" fontId="68" fillId="0" borderId="0" xfId="53" applyFont="1" applyFill="1" applyBorder="1" applyAlignment="1">
      <alignment horizontal="centerContinuous"/>
    </xf>
    <xf numFmtId="0" fontId="68" fillId="0" borderId="0" xfId="53" applyFont="1" applyFill="1" applyBorder="1" applyAlignment="1">
      <alignment horizontal="left"/>
    </xf>
    <xf numFmtId="173" fontId="68" fillId="0" borderId="0" xfId="32" applyNumberFormat="1" applyFont="1" applyFill="1" applyBorder="1"/>
    <xf numFmtId="0" fontId="68" fillId="0" borderId="34" xfId="53" applyFont="1" applyBorder="1"/>
    <xf numFmtId="173" fontId="68" fillId="0" borderId="7" xfId="32" applyNumberFormat="1" applyFont="1" applyBorder="1"/>
    <xf numFmtId="0" fontId="68" fillId="0" borderId="35" xfId="53" applyFont="1" applyFill="1" applyBorder="1"/>
    <xf numFmtId="0" fontId="68" fillId="0" borderId="36" xfId="53" applyFont="1" applyFill="1" applyBorder="1"/>
    <xf numFmtId="0" fontId="68" fillId="0" borderId="37" xfId="53" applyFont="1" applyFill="1" applyBorder="1"/>
    <xf numFmtId="173" fontId="68" fillId="0" borderId="38" xfId="32" applyNumberFormat="1" applyFont="1" applyFill="1" applyBorder="1"/>
    <xf numFmtId="0" fontId="68" fillId="0" borderId="39" xfId="53" applyFont="1" applyFill="1" applyBorder="1" applyAlignment="1">
      <alignment wrapText="1"/>
    </xf>
    <xf numFmtId="37" fontId="68" fillId="0" borderId="0" xfId="53" applyNumberFormat="1" applyFont="1" applyFill="1" applyBorder="1" applyAlignment="1">
      <alignment wrapText="1"/>
    </xf>
    <xf numFmtId="0" fontId="68" fillId="0" borderId="30" xfId="53" applyFont="1" applyFill="1" applyBorder="1" applyAlignment="1"/>
    <xf numFmtId="0" fontId="68" fillId="0" borderId="30" xfId="53" applyFont="1" applyFill="1" applyBorder="1"/>
    <xf numFmtId="0" fontId="68" fillId="0" borderId="40" xfId="53" applyFont="1" applyFill="1" applyBorder="1"/>
    <xf numFmtId="0" fontId="68" fillId="0" borderId="34" xfId="53" applyFont="1" applyFill="1" applyBorder="1" applyAlignment="1"/>
    <xf numFmtId="0" fontId="68" fillId="0" borderId="34" xfId="53" applyFont="1" applyFill="1" applyBorder="1"/>
    <xf numFmtId="0" fontId="68" fillId="0" borderId="41" xfId="53" applyFont="1" applyFill="1" applyBorder="1"/>
    <xf numFmtId="173" fontId="68" fillId="0" borderId="38" xfId="32" applyNumberFormat="1" applyFont="1" applyFill="1" applyBorder="1" applyAlignment="1">
      <alignment horizontal="right"/>
    </xf>
    <xf numFmtId="41" fontId="68" fillId="0" borderId="0" xfId="53" applyNumberFormat="1" applyFont="1" applyFill="1" applyBorder="1" applyAlignment="1">
      <alignment horizontal="center"/>
    </xf>
    <xf numFmtId="0" fontId="68" fillId="0" borderId="0" xfId="53" applyFont="1" applyFill="1" applyAlignment="1">
      <alignment horizontal="right"/>
    </xf>
    <xf numFmtId="0" fontId="68" fillId="0" borderId="0" xfId="60" applyNumberFormat="1" applyFont="1" applyFill="1" applyProtection="1">
      <protection locked="0"/>
    </xf>
    <xf numFmtId="0" fontId="68" fillId="0" borderId="0" xfId="60" applyFont="1" applyFill="1" applyAlignment="1"/>
    <xf numFmtId="0" fontId="6"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1" fillId="0" borderId="0" xfId="0" applyNumberFormat="1" applyFont="1" applyBorder="1" applyAlignment="1">
      <alignment horizontal="left"/>
    </xf>
    <xf numFmtId="0" fontId="11" fillId="0" borderId="0" xfId="0" applyNumberFormat="1" applyFont="1" applyBorder="1"/>
    <xf numFmtId="0" fontId="11" fillId="0" borderId="0" xfId="0" applyNumberFormat="1" applyFont="1" applyFill="1" applyBorder="1"/>
    <xf numFmtId="0" fontId="69" fillId="0" borderId="0" xfId="0" applyNumberFormat="1" applyFont="1"/>
    <xf numFmtId="173" fontId="4" fillId="0" borderId="10" xfId="32" applyNumberFormat="1" applyFont="1" applyFill="1" applyBorder="1" applyAlignment="1"/>
    <xf numFmtId="173" fontId="11" fillId="0" borderId="10" xfId="32" applyNumberFormat="1" applyFont="1" applyFill="1" applyBorder="1" applyAlignment="1"/>
    <xf numFmtId="0" fontId="66" fillId="8" borderId="0" xfId="0" applyNumberFormat="1" applyFont="1" applyFill="1" applyBorder="1" applyAlignment="1">
      <alignment horizontal="left"/>
    </xf>
    <xf numFmtId="0" fontId="66" fillId="8" borderId="0" xfId="0" applyNumberFormat="1" applyFont="1" applyFill="1" applyAlignment="1"/>
    <xf numFmtId="0" fontId="66" fillId="8" borderId="0" xfId="0" applyNumberFormat="1" applyFont="1" applyFill="1"/>
    <xf numFmtId="43" fontId="66" fillId="8" borderId="0" xfId="32" applyFont="1" applyFill="1"/>
    <xf numFmtId="176" fontId="66" fillId="8" borderId="0" xfId="64" applyNumberFormat="1" applyFont="1" applyFill="1"/>
    <xf numFmtId="43" fontId="66" fillId="8" borderId="0" xfId="0" applyNumberFormat="1" applyFont="1" applyFill="1"/>
    <xf numFmtId="0" fontId="68" fillId="9" borderId="0" xfId="60" applyNumberFormat="1" applyFont="1" applyFill="1" applyProtection="1">
      <protection locked="0"/>
    </xf>
    <xf numFmtId="0" fontId="49" fillId="0" borderId="0" xfId="55" applyFont="1" applyFill="1" applyBorder="1" applyAlignment="1">
      <alignment horizontal="left"/>
    </xf>
    <xf numFmtId="0" fontId="49" fillId="0" borderId="0" xfId="55" applyFont="1" applyFill="1" applyBorder="1" applyAlignment="1"/>
    <xf numFmtId="0" fontId="48" fillId="0" borderId="0" xfId="55" applyFont="1" applyFill="1" applyBorder="1" applyAlignment="1">
      <alignment horizontal="center" wrapText="1"/>
    </xf>
    <xf numFmtId="0" fontId="48" fillId="0" borderId="9" xfId="55" applyFont="1" applyFill="1" applyBorder="1" applyAlignment="1">
      <alignment horizontal="center" wrapText="1"/>
    </xf>
    <xf numFmtId="0" fontId="48" fillId="0" borderId="9" xfId="55" applyFont="1" applyBorder="1"/>
    <xf numFmtId="172" fontId="69" fillId="0" borderId="0" xfId="0" applyFont="1" applyFill="1" applyProtection="1">
      <protection locked="0"/>
    </xf>
    <xf numFmtId="178" fontId="0" fillId="0" borderId="0" xfId="0" applyNumberFormat="1" applyFill="1"/>
    <xf numFmtId="174" fontId="24" fillId="0" borderId="0" xfId="41" applyNumberFormat="1" applyFont="1" applyFill="1"/>
    <xf numFmtId="173" fontId="53" fillId="6" borderId="0" xfId="32" applyNumberFormat="1" applyFont="1" applyFill="1" applyBorder="1" applyAlignment="1">
      <alignment horizontal="center"/>
    </xf>
    <xf numFmtId="173" fontId="53" fillId="6" borderId="6" xfId="32" applyNumberFormat="1" applyFont="1" applyFill="1" applyBorder="1" applyAlignment="1">
      <alignment horizontal="center"/>
    </xf>
    <xf numFmtId="173" fontId="53" fillId="0" borderId="0" xfId="32" applyNumberFormat="1" applyFont="1" applyFill="1" applyBorder="1" applyAlignment="1">
      <alignment horizontal="center"/>
    </xf>
    <xf numFmtId="173" fontId="4" fillId="0" borderId="0" xfId="32" applyNumberFormat="1" applyFont="1" applyBorder="1" applyAlignment="1">
      <alignment horizontal="center"/>
    </xf>
    <xf numFmtId="173" fontId="53" fillId="0" borderId="0" xfId="32" applyNumberFormat="1" applyFont="1" applyBorder="1" applyAlignment="1">
      <alignment horizontal="center"/>
    </xf>
    <xf numFmtId="172" fontId="71" fillId="0" borderId="0" xfId="0" applyFont="1" applyAlignment="1"/>
    <xf numFmtId="0" fontId="51" fillId="7" borderId="0" xfId="55" applyFont="1" applyFill="1" applyBorder="1" applyAlignment="1">
      <alignment horizontal="center" wrapText="1"/>
    </xf>
    <xf numFmtId="43" fontId="4" fillId="0" borderId="0" xfId="55" applyNumberFormat="1" applyFont="1" applyFill="1" applyBorder="1" applyAlignment="1">
      <alignment horizontal="center"/>
    </xf>
    <xf numFmtId="0" fontId="73" fillId="0" borderId="0" xfId="55" applyFont="1" applyFill="1"/>
    <xf numFmtId="0" fontId="51" fillId="0" borderId="16" xfId="55" applyFont="1" applyFill="1" applyBorder="1" applyAlignment="1">
      <alignment horizontal="left"/>
    </xf>
    <xf numFmtId="0" fontId="4" fillId="0" borderId="15" xfId="55" applyFont="1" applyBorder="1"/>
    <xf numFmtId="0" fontId="4" fillId="0" borderId="14" xfId="55" applyFont="1" applyBorder="1"/>
    <xf numFmtId="0" fontId="4" fillId="11" borderId="0" xfId="55" applyFont="1" applyFill="1"/>
    <xf numFmtId="0" fontId="51" fillId="0" borderId="16" xfId="55" applyFont="1" applyFill="1" applyBorder="1" applyAlignment="1">
      <alignment horizontal="center" wrapText="1"/>
    </xf>
    <xf numFmtId="3" fontId="29" fillId="0" borderId="0" xfId="55" applyNumberFormat="1" applyFont="1" applyFill="1" applyBorder="1" applyAlignment="1">
      <alignment horizontal="center"/>
    </xf>
    <xf numFmtId="0" fontId="51" fillId="12" borderId="0" xfId="55" applyFont="1" applyFill="1" applyBorder="1" applyAlignment="1">
      <alignment horizontal="left"/>
    </xf>
    <xf numFmtId="0" fontId="4" fillId="12" borderId="0" xfId="55" applyFont="1" applyFill="1"/>
    <xf numFmtId="172" fontId="73" fillId="0" borderId="0" xfId="0" applyFont="1" applyFill="1" applyBorder="1" applyAlignment="1"/>
    <xf numFmtId="0" fontId="73" fillId="0" borderId="4" xfId="55" applyFont="1" applyFill="1" applyBorder="1"/>
    <xf numFmtId="0" fontId="68" fillId="0" borderId="0" xfId="0" applyNumberFormat="1" applyFont="1" applyFill="1" applyBorder="1" applyAlignment="1"/>
    <xf numFmtId="0" fontId="74" fillId="0" borderId="0" xfId="55" applyFont="1" applyFill="1" applyBorder="1" applyAlignment="1">
      <alignment horizontal="left"/>
    </xf>
    <xf numFmtId="43" fontId="14" fillId="13" borderId="0" xfId="55" applyNumberFormat="1" applyFont="1" applyFill="1" applyBorder="1" applyAlignment="1">
      <alignment horizontal="center"/>
    </xf>
    <xf numFmtId="173" fontId="56" fillId="13" borderId="13" xfId="35" applyNumberFormat="1" applyFont="1" applyFill="1" applyBorder="1" applyAlignment="1">
      <alignment horizontal="right"/>
    </xf>
    <xf numFmtId="173" fontId="56" fillId="13" borderId="4" xfId="35" applyNumberFormat="1" applyFont="1" applyFill="1" applyBorder="1" applyAlignment="1">
      <alignment horizontal="right"/>
    </xf>
    <xf numFmtId="172" fontId="75" fillId="0" borderId="0" xfId="0" applyFont="1" applyBorder="1" applyAlignment="1"/>
    <xf numFmtId="0" fontId="4" fillId="0" borderId="0" xfId="55" applyNumberFormat="1" applyFont="1" applyFill="1" applyBorder="1" applyAlignment="1">
      <alignment horizontal="right"/>
    </xf>
    <xf numFmtId="0" fontId="53" fillId="0" borderId="0" xfId="55" applyFont="1" applyFill="1" applyBorder="1" applyAlignment="1">
      <alignment horizontal="center"/>
    </xf>
    <xf numFmtId="173" fontId="4" fillId="13" borderId="0" xfId="35" applyNumberFormat="1" applyFont="1" applyFill="1" applyBorder="1" applyAlignment="1">
      <alignment horizontal="right"/>
    </xf>
    <xf numFmtId="173" fontId="4" fillId="13" borderId="10" xfId="35" applyNumberFormat="1" applyFont="1" applyFill="1" applyBorder="1" applyAlignment="1">
      <alignment horizontal="right"/>
    </xf>
    <xf numFmtId="43" fontId="11" fillId="0" borderId="0" xfId="32" applyFont="1" applyAlignment="1"/>
    <xf numFmtId="177" fontId="11" fillId="0" borderId="0" xfId="32" applyNumberFormat="1" applyFont="1" applyAlignment="1"/>
    <xf numFmtId="179" fontId="11" fillId="0" borderId="0" xfId="32" applyNumberFormat="1" applyFont="1" applyAlignment="1"/>
    <xf numFmtId="179" fontId="11" fillId="0" borderId="6" xfId="32" applyNumberFormat="1" applyFont="1" applyBorder="1" applyAlignment="1"/>
    <xf numFmtId="43" fontId="11" fillId="0" borderId="0" xfId="32" applyFont="1" applyFill="1" applyAlignment="1"/>
    <xf numFmtId="179" fontId="11" fillId="0" borderId="0" xfId="32" applyNumberFormat="1" applyFont="1" applyFill="1" applyAlignment="1"/>
    <xf numFmtId="179" fontId="11" fillId="0" borderId="6" xfId="32" applyNumberFormat="1" applyFont="1" applyFill="1" applyBorder="1" applyAlignment="1"/>
    <xf numFmtId="43" fontId="11" fillId="6" borderId="0" xfId="32" applyFont="1" applyFill="1" applyAlignment="1"/>
    <xf numFmtId="43" fontId="11" fillId="6" borderId="0" xfId="32" applyNumberFormat="1" applyFont="1" applyFill="1" applyAlignment="1"/>
    <xf numFmtId="43" fontId="11" fillId="6" borderId="4" xfId="32" applyFont="1" applyFill="1" applyBorder="1" applyAlignment="1"/>
    <xf numFmtId="43" fontId="11" fillId="0" borderId="4" xfId="32" applyFont="1" applyBorder="1" applyAlignment="1"/>
    <xf numFmtId="43" fontId="11" fillId="0" borderId="0" xfId="32" quotePrefix="1" applyFont="1" applyFill="1" applyAlignment="1">
      <alignment horizontal="right"/>
    </xf>
    <xf numFmtId="43" fontId="11" fillId="0" borderId="4" xfId="32" quotePrefix="1" applyFont="1" applyBorder="1" applyAlignment="1">
      <alignment horizontal="right"/>
    </xf>
    <xf numFmtId="177" fontId="11" fillId="0" borderId="4" xfId="32" applyNumberFormat="1" applyFont="1" applyBorder="1" applyAlignment="1"/>
    <xf numFmtId="43" fontId="68" fillId="6" borderId="0" xfId="32" applyFont="1" applyFill="1" applyProtection="1">
      <protection locked="0"/>
    </xf>
    <xf numFmtId="179" fontId="11" fillId="0" borderId="0" xfId="32" applyNumberFormat="1" applyFont="1" applyFill="1" applyAlignment="1">
      <alignment horizontal="center"/>
    </xf>
    <xf numFmtId="179" fontId="11" fillId="0" borderId="0" xfId="32" applyNumberFormat="1" applyFont="1" applyAlignment="1">
      <alignment horizontal="center"/>
    </xf>
    <xf numFmtId="179" fontId="24" fillId="0" borderId="0" xfId="32" applyNumberFormat="1" applyFont="1" applyFill="1" applyAlignment="1"/>
    <xf numFmtId="179" fontId="11" fillId="0" borderId="0" xfId="32" applyNumberFormat="1" applyFont="1" applyFill="1" applyBorder="1" applyAlignment="1"/>
    <xf numFmtId="43" fontId="11" fillId="0" borderId="10" xfId="32" applyFont="1" applyFill="1" applyBorder="1" applyAlignment="1"/>
    <xf numFmtId="43" fontId="48" fillId="0" borderId="0" xfId="32" applyFont="1" applyFill="1"/>
    <xf numFmtId="172" fontId="68" fillId="0" borderId="0" xfId="0" applyFont="1" applyFill="1" applyAlignment="1"/>
    <xf numFmtId="10" fontId="68" fillId="0" borderId="0" xfId="60" applyNumberFormat="1" applyFont="1" applyFill="1" applyProtection="1">
      <protection locked="0"/>
    </xf>
    <xf numFmtId="0" fontId="0" fillId="0" borderId="0" xfId="60" applyFont="1" applyFill="1" applyAlignment="1"/>
    <xf numFmtId="3" fontId="24" fillId="0" borderId="0" xfId="60" applyNumberFormat="1" applyFont="1" applyFill="1" applyBorder="1" applyAlignment="1"/>
    <xf numFmtId="173" fontId="24" fillId="0" borderId="0" xfId="60" applyNumberFormat="1" applyFill="1" applyAlignment="1"/>
    <xf numFmtId="0" fontId="0" fillId="0" borderId="0" xfId="60" applyFont="1" applyFill="1" applyBorder="1" applyAlignment="1">
      <alignment horizontal="left"/>
    </xf>
    <xf numFmtId="0" fontId="11" fillId="0" borderId="0" xfId="60" applyNumberFormat="1" applyFont="1" applyFill="1" applyAlignment="1">
      <alignment horizontal="center"/>
    </xf>
    <xf numFmtId="49" fontId="11" fillId="0" borderId="0" xfId="60" applyNumberFormat="1" applyFont="1" applyFill="1" applyAlignment="1">
      <alignment horizontal="left"/>
    </xf>
    <xf numFmtId="173" fontId="11" fillId="0" borderId="0" xfId="32" applyNumberFormat="1" applyFont="1" applyFill="1" applyAlignment="1">
      <alignment horizontal="center"/>
    </xf>
    <xf numFmtId="49" fontId="11"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3" fontId="35" fillId="0" borderId="0" xfId="60" applyNumberFormat="1" applyFont="1" applyFill="1" applyBorder="1" applyAlignment="1"/>
    <xf numFmtId="0" fontId="35" fillId="0" borderId="0" xfId="60" applyNumberFormat="1" applyFont="1" applyFill="1" applyAlignment="1">
      <alignment horizontal="left"/>
    </xf>
    <xf numFmtId="3" fontId="11" fillId="0" borderId="0" xfId="60" applyNumberFormat="1" applyFont="1" applyFill="1" applyBorder="1" applyAlignment="1">
      <alignment horizontal="right"/>
    </xf>
    <xf numFmtId="3" fontId="4" fillId="0" borderId="0" xfId="55" applyNumberFormat="1" applyFont="1" applyFill="1" applyBorder="1" applyAlignment="1">
      <alignment horizontal="center" wrapText="1"/>
    </xf>
    <xf numFmtId="173" fontId="14" fillId="0" borderId="0" xfId="32" applyNumberFormat="1" applyFont="1" applyFill="1" applyBorder="1" applyAlignment="1">
      <alignment horizontal="center"/>
    </xf>
    <xf numFmtId="173" fontId="4" fillId="0" borderId="0" xfId="32" applyNumberFormat="1" applyFont="1" applyFill="1" applyBorder="1" applyAlignment="1">
      <alignment horizontal="center"/>
    </xf>
    <xf numFmtId="173" fontId="4" fillId="0" borderId="0" xfId="32" applyNumberFormat="1" applyFont="1" applyFill="1" applyBorder="1" applyAlignment="1">
      <alignment horizontal="center" wrapText="1"/>
    </xf>
    <xf numFmtId="172" fontId="4" fillId="0" borderId="0" xfId="0" applyFont="1" applyFill="1" applyBorder="1" applyAlignment="1"/>
    <xf numFmtId="173" fontId="4" fillId="0" borderId="0" xfId="32" applyNumberFormat="1" applyFont="1" applyFill="1" applyBorder="1"/>
    <xf numFmtId="172" fontId="57" fillId="0" borderId="0" xfId="0" applyFont="1" applyFill="1" applyBorder="1" applyAlignment="1"/>
    <xf numFmtId="0" fontId="33" fillId="0" borderId="0" xfId="55" applyFont="1" applyFill="1" applyBorder="1" applyAlignment="1"/>
    <xf numFmtId="0" fontId="33" fillId="0" borderId="0" xfId="55" applyFont="1" applyFill="1" applyBorder="1" applyAlignment="1">
      <alignment horizontal="center"/>
    </xf>
    <xf numFmtId="173" fontId="33" fillId="0" borderId="0" xfId="32" applyNumberFormat="1" applyFont="1" applyFill="1" applyBorder="1" applyAlignment="1">
      <alignment horizontal="center"/>
    </xf>
    <xf numFmtId="173" fontId="33" fillId="0" borderId="0" xfId="32" applyNumberFormat="1" applyFont="1" applyFill="1" applyBorder="1" applyAlignment="1">
      <alignment horizontal="center" wrapText="1"/>
    </xf>
    <xf numFmtId="173" fontId="4" fillId="13" borderId="0" xfId="32" applyNumberFormat="1" applyFont="1" applyFill="1" applyBorder="1" applyAlignment="1">
      <alignment horizontal="center"/>
    </xf>
    <xf numFmtId="173" fontId="4" fillId="0" borderId="0" xfId="55" applyNumberFormat="1" applyFont="1" applyFill="1" applyBorder="1"/>
    <xf numFmtId="173" fontId="4" fillId="13" borderId="0" xfId="32" applyNumberFormat="1" applyFont="1" applyFill="1" applyBorder="1"/>
    <xf numFmtId="0" fontId="66" fillId="0" borderId="0" xfId="53" applyFont="1" applyFill="1"/>
    <xf numFmtId="0" fontId="66" fillId="0" borderId="0" xfId="53" applyFont="1" applyFill="1" applyBorder="1"/>
    <xf numFmtId="0" fontId="68" fillId="0" borderId="0" xfId="53" applyFont="1" applyFill="1" applyBorder="1" applyAlignment="1"/>
    <xf numFmtId="0" fontId="48" fillId="0" borderId="0" xfId="53" applyFont="1" applyFill="1" applyBorder="1" applyAlignment="1"/>
    <xf numFmtId="173" fontId="0" fillId="0" borderId="0" xfId="32" applyNumberFormat="1" applyFont="1" applyAlignment="1"/>
    <xf numFmtId="0" fontId="11" fillId="0" borderId="0" xfId="59" applyNumberFormat="1" applyFont="1" applyFill="1" applyBorder="1" applyAlignment="1" applyProtection="1">
      <protection locked="0"/>
    </xf>
    <xf numFmtId="0" fontId="11" fillId="0" borderId="0" xfId="59" applyNumberFormat="1" applyFont="1" applyFill="1" applyBorder="1" applyAlignment="1" applyProtection="1">
      <alignment horizontal="center"/>
      <protection locked="0"/>
    </xf>
    <xf numFmtId="0" fontId="40" fillId="6" borderId="0" xfId="59" applyNumberFormat="1" applyFont="1" applyFill="1" applyAlignment="1">
      <alignment horizontal="right"/>
    </xf>
    <xf numFmtId="3" fontId="11" fillId="0" borderId="0" xfId="59" applyNumberFormat="1" applyFont="1" applyFill="1" applyBorder="1" applyAlignment="1"/>
    <xf numFmtId="0" fontId="11" fillId="0" borderId="0" xfId="59" applyNumberFormat="1" applyFont="1" applyFill="1" applyBorder="1" applyProtection="1">
      <protection locked="0"/>
    </xf>
    <xf numFmtId="0" fontId="11" fillId="0" borderId="0" xfId="59" applyNumberFormat="1" applyFont="1" applyFill="1" applyBorder="1"/>
    <xf numFmtId="0" fontId="40" fillId="0" borderId="0" xfId="62" applyNumberFormat="1" applyFont="1" applyFill="1" applyAlignment="1">
      <alignment horizontal="center"/>
    </xf>
    <xf numFmtId="172" fontId="40" fillId="0" borderId="0" xfId="0" applyFont="1" applyAlignment="1"/>
    <xf numFmtId="43" fontId="40" fillId="0" borderId="0" xfId="32" applyFont="1" applyAlignment="1"/>
    <xf numFmtId="173" fontId="40" fillId="0" borderId="0" xfId="32" applyNumberFormat="1" applyFont="1" applyAlignment="1" applyProtection="1">
      <alignment horizontal="center"/>
      <protection locked="0"/>
    </xf>
    <xf numFmtId="0" fontId="40" fillId="0" borderId="0" xfId="62" applyNumberFormat="1" applyFont="1" applyAlignment="1" applyProtection="1">
      <protection locked="0"/>
    </xf>
    <xf numFmtId="3" fontId="40" fillId="0" borderId="0" xfId="62" applyNumberFormat="1" applyFont="1" applyAlignment="1"/>
    <xf numFmtId="3" fontId="40" fillId="0" borderId="4" xfId="62" applyNumberFormat="1" applyFont="1" applyBorder="1" applyAlignment="1">
      <alignment horizontal="center"/>
    </xf>
    <xf numFmtId="0" fontId="40" fillId="0" borderId="0" xfId="62" applyNumberFormat="1" applyFont="1" applyAlignment="1"/>
    <xf numFmtId="3" fontId="40" fillId="0" borderId="0" xfId="62" applyNumberFormat="1" applyFont="1" applyAlignment="1">
      <alignment horizontal="center"/>
    </xf>
    <xf numFmtId="0" fontId="40" fillId="0" borderId="4" xfId="62" applyNumberFormat="1" applyFont="1" applyBorder="1" applyAlignment="1" applyProtection="1">
      <alignment horizontal="center"/>
      <protection locked="0"/>
    </xf>
    <xf numFmtId="172" fontId="40" fillId="0" borderId="0" xfId="62" applyFont="1" applyFill="1" applyAlignment="1"/>
    <xf numFmtId="168" fontId="40" fillId="0" borderId="0" xfId="62" applyNumberFormat="1" applyFont="1" applyAlignment="1"/>
    <xf numFmtId="172" fontId="40" fillId="0" borderId="0" xfId="62" applyFont="1" applyAlignment="1"/>
    <xf numFmtId="43" fontId="40" fillId="0" borderId="0" xfId="32" applyFont="1" applyFill="1" applyAlignment="1">
      <alignment horizontal="center"/>
    </xf>
    <xf numFmtId="3" fontId="40" fillId="0" borderId="0" xfId="62" applyNumberFormat="1" applyFont="1" applyFill="1" applyAlignment="1"/>
    <xf numFmtId="166" fontId="40" fillId="0" borderId="0" xfId="62" applyNumberFormat="1" applyFont="1" applyAlignment="1">
      <alignment horizontal="center"/>
    </xf>
    <xf numFmtId="173" fontId="40" fillId="0" borderId="0" xfId="32" applyNumberFormat="1" applyFont="1" applyBorder="1" applyAlignment="1"/>
    <xf numFmtId="10" fontId="40" fillId="0" borderId="0" xfId="62" applyNumberFormat="1" applyFont="1" applyFill="1" applyAlignment="1">
      <alignment horizontal="left"/>
    </xf>
    <xf numFmtId="3" fontId="40" fillId="0" borderId="0" xfId="56" applyNumberFormat="1" applyFont="1" applyAlignment="1"/>
    <xf numFmtId="166" fontId="40" fillId="0" borderId="0" xfId="56" applyNumberFormat="1" applyFont="1" applyAlignment="1"/>
    <xf numFmtId="43" fontId="40" fillId="0" borderId="0" xfId="32" applyFont="1" applyBorder="1" applyAlignment="1"/>
    <xf numFmtId="0" fontId="40" fillId="0" borderId="0" xfId="56" applyFont="1" applyAlignment="1"/>
    <xf numFmtId="0" fontId="4" fillId="13" borderId="0" xfId="55" applyFont="1" applyFill="1" applyBorder="1" applyAlignment="1"/>
    <xf numFmtId="0" fontId="4" fillId="13" borderId="6" xfId="55" applyFont="1" applyFill="1" applyBorder="1" applyAlignment="1"/>
    <xf numFmtId="173" fontId="14" fillId="13" borderId="0" xfId="32" applyNumberFormat="1" applyFont="1" applyFill="1" applyBorder="1" applyAlignment="1">
      <alignment horizontal="center"/>
    </xf>
    <xf numFmtId="173" fontId="4" fillId="13" borderId="6" xfId="32" applyNumberFormat="1" applyFont="1" applyFill="1" applyBorder="1"/>
    <xf numFmtId="173" fontId="14" fillId="13" borderId="6" xfId="32" applyNumberFormat="1" applyFont="1" applyFill="1" applyBorder="1" applyAlignment="1">
      <alignment horizontal="center"/>
    </xf>
    <xf numFmtId="173" fontId="40" fillId="0" borderId="0" xfId="32" applyNumberFormat="1" applyFont="1" applyAlignment="1"/>
    <xf numFmtId="0" fontId="40" fillId="0" borderId="0" xfId="0" applyNumberFormat="1" applyFont="1"/>
    <xf numFmtId="0" fontId="40" fillId="0" borderId="0" xfId="0" applyNumberFormat="1" applyFont="1" applyAlignment="1">
      <alignment horizontal="left"/>
    </xf>
    <xf numFmtId="3" fontId="4" fillId="0" borderId="6" xfId="55" applyNumberFormat="1" applyFont="1" applyFill="1" applyBorder="1" applyAlignment="1"/>
    <xf numFmtId="0" fontId="4" fillId="0" borderId="0" xfId="60" applyNumberFormat="1" applyFont="1" applyBorder="1" applyAlignment="1"/>
    <xf numFmtId="0" fontId="24" fillId="0" borderId="0" xfId="60" applyFill="1" applyAlignment="1">
      <alignment horizontal="center"/>
    </xf>
    <xf numFmtId="0" fontId="4" fillId="13" borderId="0" xfId="55" applyFont="1" applyFill="1" applyBorder="1"/>
    <xf numFmtId="0" fontId="11" fillId="13" borderId="0" xfId="60" applyNumberFormat="1" applyFont="1" applyFill="1"/>
    <xf numFmtId="0" fontId="11" fillId="13" borderId="0" xfId="60" applyNumberFormat="1" applyFont="1" applyFill="1" applyAlignment="1">
      <alignment horizontal="right"/>
    </xf>
    <xf numFmtId="0" fontId="11" fillId="13" borderId="0" xfId="60" applyNumberFormat="1" applyFont="1" applyFill="1" applyProtection="1">
      <protection locked="0"/>
    </xf>
    <xf numFmtId="0" fontId="24" fillId="13" borderId="0" xfId="60" applyFill="1" applyAlignment="1"/>
    <xf numFmtId="0" fontId="29" fillId="13" borderId="0" xfId="55" applyFont="1" applyFill="1" applyBorder="1" applyAlignment="1">
      <alignment horizontal="center"/>
    </xf>
    <xf numFmtId="0" fontId="29" fillId="0" borderId="0" xfId="53" applyFont="1" applyAlignment="1">
      <alignment horizontal="center"/>
    </xf>
    <xf numFmtId="173" fontId="4" fillId="0" borderId="0" xfId="32" applyNumberFormat="1" applyFont="1"/>
    <xf numFmtId="42" fontId="4" fillId="0" borderId="0" xfId="53" applyNumberFormat="1" applyFont="1"/>
    <xf numFmtId="43" fontId="68" fillId="0" borderId="0" xfId="32" applyFont="1" applyFill="1"/>
    <xf numFmtId="172" fontId="0" fillId="0" borderId="0" xfId="60" applyNumberFormat="1" applyFont="1" applyFill="1" applyAlignment="1"/>
    <xf numFmtId="0" fontId="40" fillId="0" borderId="0" xfId="0" applyNumberFormat="1" applyFont="1" applyAlignment="1">
      <alignment horizontal="center"/>
    </xf>
    <xf numFmtId="173" fontId="40" fillId="0" borderId="0" xfId="0" applyNumberFormat="1" applyFont="1" applyFill="1"/>
    <xf numFmtId="173" fontId="40" fillId="0" borderId="0" xfId="32" applyNumberFormat="1" applyFont="1"/>
    <xf numFmtId="173" fontId="40" fillId="0" borderId="0" xfId="32" applyNumberFormat="1" applyFont="1" applyFill="1"/>
    <xf numFmtId="0" fontId="40" fillId="0" borderId="0" xfId="0" applyNumberFormat="1" applyFont="1" applyFill="1"/>
    <xf numFmtId="0" fontId="40" fillId="0" borderId="0" xfId="53" applyFont="1"/>
    <xf numFmtId="0" fontId="52" fillId="7" borderId="0" xfId="55" applyFont="1" applyFill="1" applyBorder="1" applyAlignment="1">
      <alignment horizontal="center" wrapText="1"/>
    </xf>
    <xf numFmtId="0" fontId="51" fillId="0" borderId="0" xfId="55" applyFont="1" applyFill="1" applyBorder="1" applyAlignment="1"/>
    <xf numFmtId="3" fontId="4" fillId="0" borderId="0" xfId="55" applyNumberFormat="1" applyFont="1" applyFill="1" applyBorder="1" applyAlignment="1">
      <alignment horizontal="right"/>
    </xf>
    <xf numFmtId="0" fontId="4" fillId="0" borderId="0" xfId="55" applyFont="1" applyFill="1" applyBorder="1" applyAlignment="1">
      <alignment horizontal="right"/>
    </xf>
    <xf numFmtId="173" fontId="4" fillId="0" borderId="0" xfId="55" applyNumberFormat="1" applyFont="1" applyFill="1" applyBorder="1" applyAlignment="1"/>
    <xf numFmtId="173" fontId="4" fillId="0" borderId="0" xfId="55" applyNumberFormat="1" applyFont="1" applyFill="1" applyBorder="1" applyAlignment="1">
      <alignment horizontal="right"/>
    </xf>
    <xf numFmtId="0" fontId="51" fillId="0" borderId="10" xfId="55" applyFont="1" applyFill="1" applyBorder="1" applyAlignment="1">
      <alignment horizontal="left"/>
    </xf>
    <xf numFmtId="0" fontId="3" fillId="0" borderId="0" xfId="55" applyFont="1" applyAlignment="1"/>
    <xf numFmtId="43" fontId="4" fillId="13" borderId="0" xfId="32" applyFont="1" applyFill="1" applyBorder="1" applyAlignment="1"/>
    <xf numFmtId="0" fontId="4" fillId="0" borderId="15" xfId="55" applyFont="1" applyFill="1" applyBorder="1" applyAlignment="1"/>
    <xf numFmtId="0" fontId="4" fillId="0" borderId="0" xfId="55" applyFont="1" applyBorder="1" applyAlignment="1">
      <alignment horizontal="center" wrapText="1"/>
    </xf>
    <xf numFmtId="0" fontId="51" fillId="0" borderId="15" xfId="55" applyFont="1" applyFill="1" applyBorder="1" applyAlignment="1">
      <alignment horizontal="center" wrapText="1"/>
    </xf>
    <xf numFmtId="0" fontId="4" fillId="0" borderId="9"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11" fillId="0" borderId="0" xfId="32" applyNumberFormat="1" applyFont="1" applyBorder="1" applyAlignment="1"/>
    <xf numFmtId="166" fontId="11" fillId="0" borderId="0" xfId="60" applyNumberFormat="1" applyFont="1" applyBorder="1" applyAlignment="1">
      <alignment horizontal="center"/>
    </xf>
    <xf numFmtId="9" fontId="11" fillId="0" borderId="0" xfId="64" applyFont="1" applyAlignment="1">
      <alignment horizontal="center"/>
    </xf>
    <xf numFmtId="173" fontId="61" fillId="0" borderId="0" xfId="32" applyNumberFormat="1" applyFont="1" applyAlignment="1"/>
    <xf numFmtId="173" fontId="4" fillId="13" borderId="0" xfId="35" applyNumberFormat="1" applyFont="1" applyFill="1" applyBorder="1" applyAlignment="1">
      <alignment horizontal="left"/>
    </xf>
    <xf numFmtId="0" fontId="4" fillId="13" borderId="9" xfId="55" applyFont="1" applyFill="1" applyBorder="1" applyAlignment="1">
      <alignment horizontal="center"/>
    </xf>
    <xf numFmtId="0" fontId="47" fillId="0" borderId="4" xfId="55" applyFont="1" applyBorder="1" applyAlignment="1"/>
    <xf numFmtId="173" fontId="47" fillId="0" borderId="4" xfId="35" applyNumberFormat="1" applyFont="1" applyBorder="1" applyAlignment="1"/>
    <xf numFmtId="173" fontId="29" fillId="0" borderId="4" xfId="35" applyNumberFormat="1" applyFont="1" applyBorder="1" applyAlignment="1"/>
    <xf numFmtId="0" fontId="4" fillId="13" borderId="0" xfId="55" applyFont="1" applyFill="1" applyBorder="1" applyAlignment="1">
      <alignment horizontal="left"/>
    </xf>
    <xf numFmtId="0" fontId="4" fillId="13" borderId="9" xfId="55" applyFont="1" applyFill="1" applyBorder="1"/>
    <xf numFmtId="173" fontId="29" fillId="13" borderId="4" xfId="35" applyNumberFormat="1" applyFont="1" applyFill="1" applyBorder="1" applyAlignment="1"/>
    <xf numFmtId="0" fontId="4" fillId="13" borderId="4" xfId="55" applyFont="1" applyFill="1" applyBorder="1" applyAlignment="1">
      <alignment horizontal="center" wrapText="1"/>
    </xf>
    <xf numFmtId="0" fontId="4" fillId="13" borderId="12" xfId="55" applyFont="1" applyFill="1" applyBorder="1" applyAlignment="1">
      <alignment horizontal="center" wrapText="1"/>
    </xf>
    <xf numFmtId="42" fontId="0" fillId="0" borderId="0" xfId="60" applyNumberFormat="1" applyFont="1" applyFill="1" applyAlignment="1"/>
    <xf numFmtId="173" fontId="4" fillId="0" borderId="15" xfId="0" applyNumberFormat="1" applyFont="1" applyFill="1" applyBorder="1" applyAlignment="1" applyProtection="1">
      <alignment horizontal="center" wrapText="1"/>
    </xf>
    <xf numFmtId="0" fontId="53" fillId="0" borderId="4" xfId="55" applyFont="1" applyFill="1" applyBorder="1" applyAlignment="1"/>
    <xf numFmtId="173" fontId="4" fillId="0" borderId="13" xfId="35" applyNumberFormat="1" applyFont="1" applyFill="1" applyBorder="1"/>
    <xf numFmtId="0" fontId="51" fillId="0" borderId="4" xfId="55" applyFont="1" applyFill="1" applyBorder="1" applyAlignment="1">
      <alignment horizontal="center" wrapText="1"/>
    </xf>
    <xf numFmtId="0" fontId="4" fillId="0" borderId="4" xfId="55" applyFont="1" applyBorder="1" applyAlignment="1">
      <alignment horizontal="center" wrapText="1"/>
    </xf>
    <xf numFmtId="0" fontId="4" fillId="0" borderId="12" xfId="55" applyFont="1" applyBorder="1" applyAlignment="1">
      <alignment horizontal="center" wrapText="1"/>
    </xf>
    <xf numFmtId="167" fontId="11" fillId="0" borderId="0" xfId="60" applyNumberFormat="1" applyFont="1" applyBorder="1" applyAlignment="1"/>
    <xf numFmtId="0" fontId="65" fillId="0" borderId="0" xfId="53" applyFont="1" applyAlignment="1">
      <alignment horizontal="center"/>
    </xf>
    <xf numFmtId="0" fontId="65" fillId="0" borderId="0" xfId="53" applyFont="1" applyAlignment="1">
      <alignment horizontal="left"/>
    </xf>
    <xf numFmtId="0" fontId="65" fillId="0" borderId="0" xfId="53" applyFont="1"/>
    <xf numFmtId="0" fontId="65" fillId="0" borderId="0" xfId="53" applyFont="1" applyAlignment="1">
      <alignment horizontal="center" wrapText="1"/>
    </xf>
    <xf numFmtId="0" fontId="76" fillId="0" borderId="0" xfId="53" applyNumberFormat="1" applyFont="1" applyFill="1"/>
    <xf numFmtId="0" fontId="77" fillId="0" borderId="0" xfId="53" applyFont="1" applyFill="1"/>
    <xf numFmtId="0" fontId="78" fillId="0" borderId="0" xfId="53" applyFont="1" applyAlignment="1">
      <alignment horizontal="center"/>
    </xf>
    <xf numFmtId="0" fontId="65" fillId="0" borderId="0" xfId="53" applyFont="1" applyBorder="1" applyAlignment="1"/>
    <xf numFmtId="0" fontId="65" fillId="0" borderId="0" xfId="0" applyNumberFormat="1" applyFont="1" applyBorder="1" applyAlignment="1">
      <alignment horizontal="center" wrapText="1"/>
    </xf>
    <xf numFmtId="0" fontId="65" fillId="0" borderId="0" xfId="63" applyFont="1" applyFill="1" applyBorder="1" applyAlignment="1">
      <alignment horizontal="center" wrapText="1"/>
    </xf>
    <xf numFmtId="0" fontId="65" fillId="0" borderId="42" xfId="0" applyNumberFormat="1" applyFont="1" applyBorder="1" applyAlignment="1">
      <alignment horizontal="center" wrapText="1"/>
    </xf>
    <xf numFmtId="0" fontId="65" fillId="0" borderId="0" xfId="53" applyFont="1" applyBorder="1" applyAlignment="1">
      <alignment horizontal="left" wrapText="1"/>
    </xf>
    <xf numFmtId="0" fontId="65" fillId="0" borderId="0" xfId="0" applyNumberFormat="1" applyFont="1" applyFill="1" applyBorder="1" applyAlignment="1">
      <alignment horizontal="center" wrapText="1"/>
    </xf>
    <xf numFmtId="0" fontId="65" fillId="0" borderId="18" xfId="53" applyFont="1" applyBorder="1" applyAlignment="1">
      <alignment horizontal="center" wrapText="1"/>
    </xf>
    <xf numFmtId="0" fontId="65" fillId="0" borderId="2" xfId="53" applyFont="1" applyBorder="1" applyAlignment="1">
      <alignment horizontal="center" wrapText="1"/>
    </xf>
    <xf numFmtId="0" fontId="65" fillId="0" borderId="19" xfId="53" applyFont="1" applyBorder="1" applyAlignment="1">
      <alignment horizontal="center" wrapText="1"/>
    </xf>
    <xf numFmtId="0" fontId="65" fillId="0" borderId="0" xfId="53" applyFont="1" applyBorder="1" applyAlignment="1">
      <alignment horizontal="left"/>
    </xf>
    <xf numFmtId="0" fontId="65" fillId="0" borderId="0" xfId="0" applyNumberFormat="1" applyFont="1" applyFill="1" applyBorder="1"/>
    <xf numFmtId="0" fontId="65" fillId="0" borderId="20" xfId="53" applyFont="1" applyBorder="1"/>
    <xf numFmtId="0" fontId="65" fillId="0" borderId="0" xfId="53" applyFont="1" applyBorder="1"/>
    <xf numFmtId="0" fontId="65" fillId="0" borderId="21" xfId="53" applyFont="1" applyBorder="1" applyAlignment="1">
      <alignment horizontal="center"/>
    </xf>
    <xf numFmtId="0" fontId="65" fillId="0" borderId="21" xfId="53" applyFont="1" applyBorder="1"/>
    <xf numFmtId="0" fontId="65" fillId="13" borderId="0" xfId="0" applyNumberFormat="1" applyFont="1" applyFill="1" applyBorder="1" applyAlignment="1">
      <alignment horizontal="center"/>
    </xf>
    <xf numFmtId="173" fontId="65" fillId="13" borderId="0" xfId="32" applyNumberFormat="1" applyFont="1" applyFill="1" applyBorder="1" applyAlignment="1">
      <alignment horizontal="center"/>
    </xf>
    <xf numFmtId="173" fontId="65" fillId="13" borderId="20" xfId="32" applyNumberFormat="1" applyFont="1" applyFill="1" applyBorder="1"/>
    <xf numFmtId="173" fontId="65" fillId="13" borderId="0" xfId="32" applyNumberFormat="1" applyFont="1" applyFill="1" applyBorder="1"/>
    <xf numFmtId="173" fontId="65" fillId="0" borderId="21" xfId="32" applyNumberFormat="1" applyFont="1" applyFill="1" applyBorder="1"/>
    <xf numFmtId="43" fontId="65" fillId="13" borderId="0" xfId="32" applyFont="1" applyFill="1" applyBorder="1" applyAlignment="1">
      <alignment horizontal="center"/>
    </xf>
    <xf numFmtId="173" fontId="65" fillId="0" borderId="21" xfId="32" applyNumberFormat="1" applyFont="1" applyBorder="1"/>
    <xf numFmtId="10" fontId="65" fillId="13" borderId="0" xfId="32" applyNumberFormat="1" applyFont="1" applyFill="1" applyBorder="1" applyAlignment="1">
      <alignment horizontal="center"/>
    </xf>
    <xf numFmtId="173" fontId="65" fillId="13" borderId="20" xfId="32" applyNumberFormat="1" applyFont="1" applyFill="1" applyBorder="1" applyAlignment="1">
      <alignment horizontal="center"/>
    </xf>
    <xf numFmtId="43" fontId="65" fillId="13" borderId="0" xfId="32" applyFont="1" applyFill="1" applyBorder="1" applyAlignment="1">
      <alignment horizontal="left"/>
    </xf>
    <xf numFmtId="43" fontId="65" fillId="13" borderId="20" xfId="32" applyFont="1" applyFill="1" applyBorder="1" applyAlignment="1">
      <alignment horizontal="center"/>
    </xf>
    <xf numFmtId="0" fontId="78" fillId="0" borderId="0" xfId="53" applyFont="1" applyBorder="1" applyAlignment="1"/>
    <xf numFmtId="173" fontId="65" fillId="0" borderId="22" xfId="53" applyNumberFormat="1" applyFont="1" applyBorder="1"/>
    <xf numFmtId="173" fontId="65" fillId="0" borderId="6" xfId="53" applyNumberFormat="1" applyFont="1" applyBorder="1"/>
    <xf numFmtId="173" fontId="65" fillId="0" borderId="23" xfId="53" applyNumberFormat="1" applyFont="1" applyBorder="1"/>
    <xf numFmtId="173" fontId="65" fillId="0" borderId="21" xfId="53" applyNumberFormat="1" applyFont="1" applyBorder="1"/>
    <xf numFmtId="0" fontId="65" fillId="0" borderId="7" xfId="53" applyFont="1" applyBorder="1" applyAlignment="1">
      <alignment horizontal="center" wrapText="1"/>
    </xf>
    <xf numFmtId="0" fontId="42" fillId="0" borderId="0" xfId="53" applyFont="1" applyAlignment="1"/>
    <xf numFmtId="173" fontId="4" fillId="0" borderId="0" xfId="53" applyNumberFormat="1"/>
    <xf numFmtId="172" fontId="68" fillId="0" borderId="0" xfId="0" applyFont="1" applyAlignment="1">
      <alignment vertical="center"/>
    </xf>
    <xf numFmtId="43" fontId="65" fillId="0" borderId="0" xfId="32" applyFont="1" applyFill="1" applyBorder="1" applyAlignment="1">
      <alignment horizontal="center"/>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173" fontId="11" fillId="0" borderId="0" xfId="35" applyNumberFormat="1" applyFont="1" applyFill="1" applyBorder="1" applyAlignment="1"/>
    <xf numFmtId="173" fontId="53" fillId="13" borderId="0" xfId="32" applyNumberFormat="1" applyFont="1" applyFill="1" applyBorder="1" applyAlignment="1">
      <alignment horizontal="center"/>
    </xf>
    <xf numFmtId="173" fontId="4" fillId="0" borderId="4" xfId="35" applyNumberFormat="1" applyFont="1" applyBorder="1"/>
    <xf numFmtId="0" fontId="48" fillId="0" borderId="4" xfId="55" applyFont="1" applyBorder="1" applyAlignment="1"/>
    <xf numFmtId="0" fontId="48" fillId="0" borderId="0" xfId="55" applyFont="1" applyFill="1" applyBorder="1" applyAlignment="1">
      <alignment horizontal="center"/>
    </xf>
    <xf numFmtId="173" fontId="4" fillId="13" borderId="7" xfId="35" applyNumberFormat="1" applyFont="1" applyFill="1" applyBorder="1" applyAlignment="1">
      <alignment horizontal="left"/>
    </xf>
    <xf numFmtId="164" fontId="4" fillId="13" borderId="7" xfId="66" applyNumberFormat="1" applyFont="1" applyFill="1" applyBorder="1" applyAlignment="1">
      <alignment horizontal="left"/>
    </xf>
    <xf numFmtId="0" fontId="4" fillId="13" borderId="7" xfId="55" applyFont="1" applyFill="1" applyBorder="1"/>
    <xf numFmtId="173" fontId="4" fillId="13" borderId="46" xfId="35" applyNumberFormat="1" applyFont="1" applyFill="1" applyBorder="1"/>
    <xf numFmtId="173" fontId="29" fillId="13" borderId="46" xfId="35" applyNumberFormat="1" applyFont="1" applyFill="1" applyBorder="1" applyAlignment="1"/>
    <xf numFmtId="0" fontId="0" fillId="0" borderId="0" xfId="60" applyFont="1" applyFill="1" applyAlignment="1">
      <alignment horizontal="center"/>
    </xf>
    <xf numFmtId="0" fontId="4" fillId="0" borderId="15" xfId="55" applyFont="1" applyFill="1" applyBorder="1" applyAlignment="1">
      <alignment horizontal="right"/>
    </xf>
    <xf numFmtId="173" fontId="4" fillId="0" borderId="16" xfId="0" applyNumberFormat="1" applyFont="1" applyFill="1" applyBorder="1" applyAlignment="1" applyProtection="1">
      <alignment horizontal="center" wrapText="1"/>
    </xf>
    <xf numFmtId="173" fontId="40" fillId="0" borderId="0" xfId="32" applyNumberFormat="1" applyFont="1" applyFill="1" applyAlignment="1" applyProtection="1">
      <alignment horizontal="center"/>
      <protection locked="0"/>
    </xf>
    <xf numFmtId="0" fontId="65" fillId="0" borderId="0" xfId="53" applyFont="1" applyFill="1" applyAlignment="1">
      <alignment horizontal="center"/>
    </xf>
    <xf numFmtId="0" fontId="65" fillId="0" borderId="0" xfId="53" applyFont="1" applyFill="1" applyAlignment="1">
      <alignment horizontal="left"/>
    </xf>
    <xf numFmtId="43" fontId="68" fillId="0" borderId="0" xfId="32" applyFont="1" applyFill="1" applyProtection="1">
      <protection locked="0"/>
    </xf>
    <xf numFmtId="43" fontId="11" fillId="0" borderId="0" xfId="32" applyFont="1" applyBorder="1" applyAlignment="1"/>
    <xf numFmtId="0" fontId="79" fillId="0" borderId="0" xfId="60" applyNumberFormat="1" applyFont="1" applyFill="1" applyProtection="1">
      <protection locked="0"/>
    </xf>
    <xf numFmtId="0" fontId="80" fillId="0" borderId="0" xfId="60" applyNumberFormat="1" applyFont="1" applyFill="1" applyAlignment="1" applyProtection="1">
      <alignment horizontal="center"/>
      <protection locked="0"/>
    </xf>
    <xf numFmtId="9" fontId="11" fillId="13" borderId="0" xfId="64" applyFont="1" applyFill="1" applyAlignment="1"/>
    <xf numFmtId="9" fontId="11" fillId="0" borderId="0" xfId="64" applyFont="1" applyAlignment="1"/>
    <xf numFmtId="177" fontId="65" fillId="13" borderId="0" xfId="32" applyNumberFormat="1" applyFont="1" applyFill="1" applyBorder="1" applyAlignment="1">
      <alignment horizontal="center"/>
    </xf>
    <xf numFmtId="177" fontId="40" fillId="0" borderId="0" xfId="32" applyNumberFormat="1" applyFont="1" applyFill="1"/>
    <xf numFmtId="177" fontId="40" fillId="0" borderId="0" xfId="32" applyNumberFormat="1" applyFont="1"/>
    <xf numFmtId="177" fontId="65" fillId="0" borderId="0" xfId="32" applyNumberFormat="1" applyFont="1" applyFill="1" applyBorder="1" applyAlignment="1">
      <alignment horizontal="center"/>
    </xf>
    <xf numFmtId="173" fontId="4" fillId="0" borderId="0" xfId="32" applyNumberFormat="1"/>
    <xf numFmtId="0" fontId="65" fillId="13" borderId="44" xfId="53" applyFont="1" applyFill="1" applyBorder="1" applyAlignment="1"/>
    <xf numFmtId="0" fontId="65" fillId="13" borderId="29" xfId="53" applyFont="1" applyFill="1" applyBorder="1" applyAlignment="1"/>
    <xf numFmtId="0" fontId="65" fillId="13" borderId="45" xfId="53" applyFont="1" applyFill="1" applyBorder="1" applyAlignment="1"/>
    <xf numFmtId="172" fontId="48" fillId="0" borderId="0" xfId="0" applyFont="1" applyAlignment="1"/>
    <xf numFmtId="0" fontId="48" fillId="0" borderId="0" xfId="0" applyNumberFormat="1" applyFont="1"/>
    <xf numFmtId="172" fontId="0" fillId="0" borderId="0" xfId="0" applyFill="1" applyAlignment="1">
      <alignment horizontal="center"/>
    </xf>
    <xf numFmtId="172" fontId="39" fillId="0" borderId="0" xfId="0" applyFont="1" applyFill="1" applyAlignment="1">
      <alignment horizontal="center"/>
    </xf>
    <xf numFmtId="172" fontId="0" fillId="0" borderId="0" xfId="0" applyFont="1" applyAlignment="1"/>
    <xf numFmtId="172" fontId="0" fillId="0" borderId="0" xfId="0" applyFont="1" applyFill="1"/>
    <xf numFmtId="10" fontId="4" fillId="13" borderId="0" xfId="64" applyNumberFormat="1" applyFont="1" applyFill="1" applyBorder="1" applyAlignment="1"/>
    <xf numFmtId="10" fontId="4" fillId="0" borderId="0" xfId="64" applyNumberFormat="1" applyFont="1" applyFill="1" applyBorder="1" applyAlignment="1">
      <alignment horizontal="center"/>
    </xf>
    <xf numFmtId="43" fontId="40" fillId="0" borderId="0" xfId="0" applyNumberFormat="1" applyFont="1"/>
    <xf numFmtId="179" fontId="40" fillId="0" borderId="0" xfId="32" applyNumberFormat="1" applyFont="1" applyAlignment="1"/>
    <xf numFmtId="179" fontId="40" fillId="0" borderId="4" xfId="32" applyNumberFormat="1" applyFont="1" applyBorder="1" applyAlignment="1"/>
    <xf numFmtId="10" fontId="11" fillId="0" borderId="0" xfId="64" applyNumberFormat="1" applyFont="1" applyFill="1" applyAlignment="1"/>
    <xf numFmtId="10" fontId="0" fillId="0" borderId="0" xfId="0" applyNumberFormat="1"/>
    <xf numFmtId="10" fontId="11" fillId="0" borderId="0" xfId="53" applyNumberFormat="1" applyFont="1"/>
    <xf numFmtId="10" fontId="4" fillId="0" borderId="0" xfId="55" applyNumberFormat="1"/>
    <xf numFmtId="10" fontId="4" fillId="0" borderId="0" xfId="53" applyNumberFormat="1"/>
    <xf numFmtId="10" fontId="4" fillId="0" borderId="0" xfId="55" applyNumberFormat="1" applyFont="1"/>
    <xf numFmtId="172" fontId="67" fillId="0" borderId="0" xfId="0" applyFont="1" applyAlignment="1"/>
    <xf numFmtId="172" fontId="3" fillId="0" borderId="0" xfId="0" applyFont="1" applyAlignment="1">
      <alignment horizontal="center"/>
    </xf>
    <xf numFmtId="172" fontId="68" fillId="0" borderId="0" xfId="0" applyFont="1" applyAlignment="1"/>
    <xf numFmtId="0" fontId="68" fillId="0" borderId="0" xfId="60" applyFont="1" applyAlignment="1"/>
    <xf numFmtId="43" fontId="0" fillId="0" borderId="0" xfId="32" applyFont="1" applyFill="1" applyAlignment="1">
      <alignment horizontal="right"/>
    </xf>
    <xf numFmtId="10" fontId="40" fillId="0" borderId="0" xfId="32" applyNumberFormat="1" applyFont="1" applyFill="1" applyAlignment="1"/>
    <xf numFmtId="0" fontId="70"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1" fillId="0" borderId="0" xfId="60" applyNumberFormat="1" applyFont="1" applyAlignment="1">
      <alignment horizontal="right"/>
    </xf>
    <xf numFmtId="173" fontId="0" fillId="0" borderId="0" xfId="32" applyNumberFormat="1" applyFont="1" applyAlignment="1">
      <alignment horizontal="center"/>
    </xf>
    <xf numFmtId="173" fontId="48" fillId="0" borderId="0" xfId="32" applyNumberFormat="1" applyFont="1" applyAlignment="1">
      <alignment horizontal="center"/>
    </xf>
    <xf numFmtId="172" fontId="65" fillId="0" borderId="0" xfId="0" applyFont="1"/>
    <xf numFmtId="172" fontId="65" fillId="0" borderId="0" xfId="0" applyFont="1" applyFill="1"/>
    <xf numFmtId="172" fontId="65" fillId="0" borderId="23" xfId="0" applyFont="1" applyFill="1" applyBorder="1"/>
    <xf numFmtId="172" fontId="65" fillId="0" borderId="6" xfId="0" applyFont="1" applyFill="1" applyBorder="1"/>
    <xf numFmtId="174" fontId="65" fillId="0" borderId="6" xfId="41" applyNumberFormat="1" applyFont="1" applyFill="1" applyBorder="1"/>
    <xf numFmtId="172" fontId="65" fillId="0" borderId="6" xfId="0" applyFont="1" applyFill="1" applyBorder="1" applyProtection="1">
      <protection locked="0"/>
    </xf>
    <xf numFmtId="172" fontId="65" fillId="0" borderId="22" xfId="0" applyFont="1" applyFill="1" applyBorder="1" applyProtection="1">
      <protection locked="0"/>
    </xf>
    <xf numFmtId="172" fontId="65" fillId="0" borderId="21" xfId="0" applyFont="1" applyFill="1" applyBorder="1"/>
    <xf numFmtId="172" fontId="65" fillId="0" borderId="0" xfId="0" applyFont="1" applyFill="1" applyBorder="1"/>
    <xf numFmtId="174" fontId="65" fillId="0" borderId="0" xfId="41" applyNumberFormat="1" applyFont="1" applyFill="1" applyBorder="1"/>
    <xf numFmtId="172" fontId="65" fillId="0" borderId="0" xfId="0" applyFont="1" applyFill="1" applyBorder="1" applyProtection="1">
      <protection locked="0"/>
    </xf>
    <xf numFmtId="172" fontId="65" fillId="0" borderId="20" xfId="0" applyFont="1" applyFill="1" applyBorder="1" applyProtection="1">
      <protection locked="0"/>
    </xf>
    <xf numFmtId="172" fontId="65" fillId="0" borderId="20" xfId="0" applyFont="1" applyFill="1" applyBorder="1"/>
    <xf numFmtId="173" fontId="65" fillId="0" borderId="21" xfId="32" applyNumberFormat="1" applyFont="1" applyFill="1" applyBorder="1" applyProtection="1">
      <protection locked="0"/>
    </xf>
    <xf numFmtId="173" fontId="65" fillId="0" borderId="0" xfId="32" applyNumberFormat="1" applyFont="1" applyFill="1" applyBorder="1" applyProtection="1">
      <protection locked="0"/>
    </xf>
    <xf numFmtId="178" fontId="65" fillId="0" borderId="0" xfId="0" applyNumberFormat="1" applyFont="1" applyFill="1" applyBorder="1" applyProtection="1">
      <protection locked="0"/>
    </xf>
    <xf numFmtId="173" fontId="65" fillId="0" borderId="0" xfId="0" applyNumberFormat="1" applyFont="1" applyFill="1" applyBorder="1" applyProtection="1">
      <protection locked="0"/>
    </xf>
    <xf numFmtId="173" fontId="65" fillId="0" borderId="6" xfId="32" applyNumberFormat="1" applyFont="1" applyFill="1" applyBorder="1" applyProtection="1">
      <protection locked="0"/>
    </xf>
    <xf numFmtId="173" fontId="78" fillId="0" borderId="0" xfId="0" applyNumberFormat="1" applyFont="1" applyFill="1" applyBorder="1" applyProtection="1">
      <protection locked="0"/>
    </xf>
    <xf numFmtId="173" fontId="78" fillId="0" borderId="0" xfId="32" applyNumberFormat="1" applyFont="1" applyFill="1" applyBorder="1" applyAlignment="1" applyProtection="1">
      <alignment horizontal="center"/>
      <protection locked="0"/>
    </xf>
    <xf numFmtId="172" fontId="83" fillId="0" borderId="0" xfId="0" applyFont="1" applyFill="1" applyBorder="1" applyProtection="1">
      <protection locked="0"/>
    </xf>
    <xf numFmtId="172" fontId="83" fillId="0" borderId="20" xfId="0" applyFont="1" applyFill="1" applyBorder="1" applyProtection="1">
      <protection locked="0"/>
    </xf>
    <xf numFmtId="173" fontId="78" fillId="0" borderId="21" xfId="32" applyNumberFormat="1" applyFont="1" applyFill="1" applyBorder="1" applyProtection="1">
      <protection locked="0"/>
    </xf>
    <xf numFmtId="4" fontId="65" fillId="0" borderId="0" xfId="0" applyNumberFormat="1" applyFont="1" applyFill="1" applyBorder="1" applyAlignment="1" applyProtection="1">
      <alignment horizontal="center"/>
      <protection locked="0"/>
    </xf>
    <xf numFmtId="4" fontId="65" fillId="0" borderId="0" xfId="0" applyNumberFormat="1" applyFont="1" applyFill="1" applyBorder="1" applyAlignment="1">
      <alignment horizontal="center"/>
    </xf>
    <xf numFmtId="172" fontId="65" fillId="0" borderId="21" xfId="0" applyFont="1" applyFill="1" applyBorder="1" applyAlignment="1" applyProtection="1">
      <alignment horizontal="center"/>
      <protection locked="0"/>
    </xf>
    <xf numFmtId="172" fontId="65" fillId="0" borderId="0" xfId="0" applyFont="1" applyFill="1" applyBorder="1" applyAlignment="1" applyProtection="1">
      <alignment horizontal="center"/>
      <protection locked="0"/>
    </xf>
    <xf numFmtId="172" fontId="78" fillId="0" borderId="0" xfId="0" applyFont="1" applyFill="1" applyBorder="1" applyAlignment="1" applyProtection="1">
      <alignment horizontal="center"/>
      <protection locked="0"/>
    </xf>
    <xf numFmtId="172" fontId="83" fillId="0" borderId="0" xfId="0" applyFont="1" applyFill="1" applyBorder="1" applyAlignment="1" applyProtection="1">
      <alignment horizontal="center"/>
      <protection locked="0"/>
    </xf>
    <xf numFmtId="172" fontId="83" fillId="0" borderId="20" xfId="0" applyFont="1" applyFill="1" applyBorder="1" applyAlignment="1" applyProtection="1">
      <alignment horizontal="left"/>
      <protection locked="0"/>
    </xf>
    <xf numFmtId="0" fontId="78" fillId="0" borderId="20" xfId="0" applyNumberFormat="1" applyFont="1" applyFill="1" applyBorder="1" applyAlignment="1" applyProtection="1">
      <alignment horizontal="left"/>
      <protection locked="0"/>
    </xf>
    <xf numFmtId="172" fontId="65" fillId="0" borderId="19" xfId="0" applyFont="1" applyFill="1" applyBorder="1" applyAlignment="1" applyProtection="1">
      <alignment horizontal="center"/>
      <protection locked="0"/>
    </xf>
    <xf numFmtId="172" fontId="65" fillId="0" borderId="2" xfId="0" applyFont="1" applyFill="1" applyBorder="1" applyAlignment="1" applyProtection="1">
      <alignment horizontal="center"/>
      <protection locked="0"/>
    </xf>
    <xf numFmtId="172" fontId="78" fillId="0" borderId="2" xfId="0" applyFont="1" applyFill="1" applyBorder="1" applyAlignment="1" applyProtection="1">
      <alignment horizontal="center"/>
      <protection locked="0"/>
    </xf>
    <xf numFmtId="172" fontId="65" fillId="0" borderId="2" xfId="0" applyFont="1" applyFill="1" applyBorder="1" applyProtection="1">
      <protection locked="0"/>
    </xf>
    <xf numFmtId="172" fontId="83" fillId="0" borderId="2" xfId="0" applyFont="1" applyFill="1" applyBorder="1" applyAlignment="1" applyProtection="1">
      <alignment horizontal="center"/>
      <protection locked="0"/>
    </xf>
    <xf numFmtId="172" fontId="83" fillId="0" borderId="18" xfId="0" applyFont="1" applyFill="1" applyBorder="1" applyAlignment="1" applyProtection="1">
      <alignment horizontal="left"/>
      <protection locked="0"/>
    </xf>
    <xf numFmtId="172" fontId="65" fillId="0" borderId="0" xfId="0" applyFont="1" applyBorder="1"/>
    <xf numFmtId="174" fontId="65" fillId="0" borderId="0" xfId="41" applyNumberFormat="1" applyFont="1" applyBorder="1"/>
    <xf numFmtId="178" fontId="65" fillId="0" borderId="0" xfId="0" applyNumberFormat="1" applyFont="1" applyBorder="1"/>
    <xf numFmtId="172" fontId="65" fillId="0" borderId="0" xfId="0" applyFont="1" applyBorder="1" applyProtection="1">
      <protection locked="0"/>
    </xf>
    <xf numFmtId="173" fontId="65" fillId="0" borderId="0" xfId="0" applyNumberFormat="1" applyFont="1"/>
    <xf numFmtId="173" fontId="65" fillId="0" borderId="0" xfId="0" applyNumberFormat="1" applyFont="1" applyFill="1" applyProtection="1">
      <protection locked="0"/>
    </xf>
    <xf numFmtId="172" fontId="65" fillId="0" borderId="0" xfId="0" applyFont="1" applyFill="1" applyProtection="1">
      <protection locked="0"/>
    </xf>
    <xf numFmtId="172" fontId="65" fillId="0" borderId="0" xfId="0" applyFont="1" applyFill="1" applyAlignment="1" applyProtection="1">
      <alignment horizontal="center"/>
      <protection locked="0"/>
    </xf>
    <xf numFmtId="173" fontId="65" fillId="0" borderId="0" xfId="0" applyNumberFormat="1" applyFont="1" applyFill="1" applyAlignment="1" applyProtection="1">
      <alignment horizontal="center"/>
      <protection locked="0"/>
    </xf>
    <xf numFmtId="178" fontId="65" fillId="0" borderId="0" xfId="64" applyNumberFormat="1" applyFont="1" applyFill="1" applyProtection="1">
      <protection locked="0"/>
    </xf>
    <xf numFmtId="0" fontId="78" fillId="0" borderId="0" xfId="0" applyNumberFormat="1" applyFont="1" applyFill="1" applyAlignment="1" applyProtection="1">
      <alignment horizontal="left"/>
      <protection locked="0"/>
    </xf>
    <xf numFmtId="173" fontId="78" fillId="0" borderId="0" xfId="0" applyNumberFormat="1" applyFont="1" applyFill="1" applyAlignment="1" applyProtection="1">
      <alignment horizontal="center"/>
      <protection locked="0"/>
    </xf>
    <xf numFmtId="173" fontId="78" fillId="0" borderId="0" xfId="0" applyNumberFormat="1" applyFont="1" applyFill="1" applyAlignment="1" applyProtection="1">
      <alignment horizontal="center" wrapText="1"/>
      <protection locked="0"/>
    </xf>
    <xf numFmtId="172" fontId="78" fillId="0" borderId="0" xfId="0" applyFont="1" applyFill="1" applyAlignment="1" applyProtection="1">
      <alignment horizontal="center"/>
      <protection locked="0"/>
    </xf>
    <xf numFmtId="172" fontId="78" fillId="0" borderId="0" xfId="0" applyFont="1" applyFill="1" applyAlignment="1" applyProtection="1">
      <alignment horizontal="center" wrapText="1"/>
      <protection locked="0"/>
    </xf>
    <xf numFmtId="172" fontId="65" fillId="0" borderId="12" xfId="0" applyFont="1" applyFill="1" applyBorder="1" applyProtection="1">
      <protection locked="0"/>
    </xf>
    <xf numFmtId="172" fontId="65" fillId="0" borderId="4" xfId="0" applyFont="1" applyFill="1" applyBorder="1" applyProtection="1">
      <protection locked="0"/>
    </xf>
    <xf numFmtId="173" fontId="65" fillId="0" borderId="4" xfId="0" applyNumberFormat="1" applyFont="1" applyFill="1" applyBorder="1" applyProtection="1">
      <protection locked="0"/>
    </xf>
    <xf numFmtId="172" fontId="65" fillId="0" borderId="4" xfId="0" applyFont="1" applyFill="1" applyBorder="1" applyAlignment="1" applyProtection="1">
      <alignment horizontal="center"/>
      <protection locked="0"/>
    </xf>
    <xf numFmtId="173" fontId="65" fillId="0" borderId="13" xfId="0" applyNumberFormat="1" applyFont="1" applyFill="1" applyBorder="1" applyProtection="1">
      <protection locked="0"/>
    </xf>
    <xf numFmtId="172" fontId="65" fillId="0" borderId="9" xfId="0" applyFont="1" applyFill="1" applyBorder="1" applyProtection="1">
      <protection locked="0"/>
    </xf>
    <xf numFmtId="173" fontId="65" fillId="0" borderId="10" xfId="0" applyNumberFormat="1" applyFont="1" applyFill="1" applyBorder="1" applyProtection="1">
      <protection locked="0"/>
    </xf>
    <xf numFmtId="172" fontId="65" fillId="0" borderId="0" xfId="0" applyFont="1" applyFill="1" applyBorder="1" applyAlignment="1" applyProtection="1">
      <alignment horizontal="left"/>
      <protection locked="0"/>
    </xf>
    <xf numFmtId="172" fontId="65" fillId="0" borderId="10" xfId="0" applyFont="1" applyFill="1" applyBorder="1" applyAlignment="1" applyProtection="1">
      <alignment horizontal="left"/>
      <protection locked="0"/>
    </xf>
    <xf numFmtId="172" fontId="84" fillId="0" borderId="10" xfId="0" applyFont="1" applyFill="1" applyBorder="1" applyProtection="1">
      <protection locked="0"/>
    </xf>
    <xf numFmtId="172" fontId="84" fillId="0" borderId="10" xfId="0" applyFont="1" applyBorder="1"/>
    <xf numFmtId="164" fontId="65" fillId="0" borderId="0" xfId="0" applyNumberFormat="1" applyFont="1" applyFill="1" applyBorder="1" applyProtection="1">
      <protection locked="0"/>
    </xf>
    <xf numFmtId="44" fontId="65" fillId="0" borderId="9" xfId="41" applyFont="1" applyFill="1" applyBorder="1" applyProtection="1">
      <protection locked="0"/>
    </xf>
    <xf numFmtId="44" fontId="65" fillId="0" borderId="0" xfId="0" applyNumberFormat="1" applyFont="1" applyBorder="1"/>
    <xf numFmtId="10" fontId="65" fillId="0" borderId="0" xfId="0" applyNumberFormat="1" applyFont="1" applyBorder="1" applyAlignment="1">
      <alignment horizontal="center"/>
    </xf>
    <xf numFmtId="10" fontId="65" fillId="0" borderId="0" xfId="0" applyNumberFormat="1" applyFont="1" applyFill="1" applyBorder="1" applyAlignment="1" applyProtection="1">
      <alignment horizontal="center"/>
      <protection locked="0"/>
    </xf>
    <xf numFmtId="0" fontId="65" fillId="0" borderId="10" xfId="0" applyNumberFormat="1" applyFont="1" applyFill="1" applyBorder="1" applyAlignment="1" applyProtection="1">
      <alignment horizontal="center"/>
      <protection locked="0"/>
    </xf>
    <xf numFmtId="44" fontId="65" fillId="0" borderId="11" xfId="41" applyFont="1" applyFill="1" applyBorder="1" applyProtection="1">
      <protection locked="0"/>
    </xf>
    <xf numFmtId="0" fontId="65" fillId="0" borderId="0" xfId="0" applyNumberFormat="1" applyFont="1" applyFill="1" applyBorder="1" applyAlignment="1" applyProtection="1">
      <alignment horizontal="center"/>
      <protection locked="0"/>
    </xf>
    <xf numFmtId="170" fontId="65" fillId="0" borderId="0" xfId="0" applyNumberFormat="1" applyFont="1" applyFill="1" applyBorder="1" applyAlignment="1" applyProtection="1">
      <alignment horizontal="center"/>
      <protection locked="0"/>
    </xf>
    <xf numFmtId="175" fontId="65" fillId="0" borderId="0" xfId="0" applyNumberFormat="1" applyFont="1" applyFill="1" applyBorder="1" applyProtection="1">
      <protection locked="0"/>
    </xf>
    <xf numFmtId="0" fontId="65" fillId="0" borderId="0" xfId="0" applyNumberFormat="1" applyFont="1" applyBorder="1" applyAlignment="1">
      <alignment horizontal="center"/>
    </xf>
    <xf numFmtId="172" fontId="78" fillId="0" borderId="0" xfId="0" applyFont="1" applyFill="1" applyBorder="1" applyAlignment="1" applyProtection="1">
      <alignment horizontal="center" wrapText="1"/>
      <protection locked="0"/>
    </xf>
    <xf numFmtId="172" fontId="78" fillId="0" borderId="0" xfId="0" applyFont="1" applyFill="1" applyBorder="1" applyProtection="1">
      <protection locked="0"/>
    </xf>
    <xf numFmtId="172" fontId="78" fillId="0" borderId="9" xfId="0" applyFont="1" applyFill="1" applyBorder="1" applyAlignment="1" applyProtection="1">
      <alignment horizontal="center"/>
      <protection locked="0"/>
    </xf>
    <xf numFmtId="172" fontId="78" fillId="0" borderId="0" xfId="0" applyFont="1" applyBorder="1" applyAlignment="1">
      <alignment horizontal="center"/>
    </xf>
    <xf numFmtId="172" fontId="78" fillId="0" borderId="10" xfId="0" applyFont="1" applyBorder="1" applyAlignment="1">
      <alignment horizontal="center"/>
    </xf>
    <xf numFmtId="172" fontId="85" fillId="0" borderId="0" xfId="0" applyFont="1" applyFill="1" applyAlignment="1" applyProtection="1">
      <alignment horizontal="left"/>
      <protection locked="0"/>
    </xf>
    <xf numFmtId="182" fontId="65" fillId="0" borderId="0" xfId="32" applyNumberFormat="1" applyFont="1" applyFill="1" applyBorder="1" applyProtection="1">
      <protection locked="0"/>
    </xf>
    <xf numFmtId="1" fontId="65" fillId="0" borderId="0" xfId="0" applyNumberFormat="1" applyFont="1" applyFill="1" applyBorder="1" applyProtection="1">
      <protection locked="0"/>
    </xf>
    <xf numFmtId="172" fontId="83" fillId="0" borderId="0" xfId="0" applyFont="1" applyFill="1" applyBorder="1" applyAlignment="1" applyProtection="1">
      <alignment horizontal="left"/>
      <protection locked="0"/>
    </xf>
    <xf numFmtId="0" fontId="78" fillId="0" borderId="0" xfId="0" applyNumberFormat="1" applyFont="1" applyFill="1" applyBorder="1" applyAlignment="1" applyProtection="1">
      <alignment horizontal="left"/>
      <protection locked="0"/>
    </xf>
    <xf numFmtId="173" fontId="78" fillId="0" borderId="0" xfId="32" applyNumberFormat="1" applyFont="1" applyFill="1" applyBorder="1" applyProtection="1">
      <protection locked="0"/>
    </xf>
    <xf numFmtId="172" fontId="40" fillId="0" borderId="7" xfId="0" applyFont="1" applyBorder="1" applyAlignment="1"/>
    <xf numFmtId="172" fontId="0" fillId="0" borderId="7" xfId="0" applyBorder="1" applyAlignment="1"/>
    <xf numFmtId="172" fontId="0" fillId="14" borderId="7" xfId="0" applyFill="1" applyBorder="1" applyAlignment="1"/>
    <xf numFmtId="172" fontId="65" fillId="0" borderId="0" xfId="0" applyFont="1" applyAlignment="1"/>
    <xf numFmtId="49" fontId="0" fillId="0" borderId="0" xfId="0" applyNumberFormat="1" applyAlignment="1"/>
    <xf numFmtId="43" fontId="29" fillId="13" borderId="10" xfId="32" applyFont="1" applyFill="1" applyBorder="1"/>
    <xf numFmtId="172" fontId="46" fillId="0" borderId="0" xfId="59" applyFont="1" applyFill="1" applyBorder="1" applyAlignment="1"/>
    <xf numFmtId="49" fontId="46" fillId="0" borderId="0" xfId="59" applyNumberFormat="1" applyFont="1" applyFill="1" applyBorder="1" applyAlignment="1">
      <alignment horizontal="left"/>
    </xf>
    <xf numFmtId="0" fontId="65" fillId="0" borderId="0" xfId="55" applyFont="1" applyFill="1"/>
    <xf numFmtId="0" fontId="65" fillId="0" borderId="0" xfId="55" applyFont="1" applyFill="1" applyBorder="1"/>
    <xf numFmtId="0" fontId="65" fillId="0" borderId="0" xfId="55" applyFont="1" applyFill="1" applyAlignment="1">
      <alignment horizontal="left"/>
    </xf>
    <xf numFmtId="0" fontId="78" fillId="0" borderId="0" xfId="55" applyFont="1" applyFill="1" applyBorder="1" applyAlignment="1">
      <alignment horizontal="left"/>
    </xf>
    <xf numFmtId="43" fontId="65" fillId="0" borderId="0" xfId="55" applyNumberFormat="1" applyFont="1" applyFill="1" applyBorder="1"/>
    <xf numFmtId="0" fontId="65" fillId="0" borderId="0" xfId="55" applyFont="1" applyFill="1" applyBorder="1" applyAlignment="1">
      <alignment horizontal="left"/>
    </xf>
    <xf numFmtId="0" fontId="78" fillId="0" borderId="16" xfId="55" applyFont="1" applyFill="1" applyBorder="1"/>
    <xf numFmtId="0" fontId="65" fillId="0" borderId="15" xfId="55" applyFont="1" applyFill="1" applyBorder="1"/>
    <xf numFmtId="0" fontId="65" fillId="0" borderId="14" xfId="55" applyFont="1" applyFill="1" applyBorder="1"/>
    <xf numFmtId="0" fontId="78" fillId="0" borderId="13" xfId="55" applyFont="1" applyFill="1" applyBorder="1"/>
    <xf numFmtId="0" fontId="65" fillId="0" borderId="4" xfId="55" applyFont="1" applyFill="1" applyBorder="1"/>
    <xf numFmtId="174" fontId="78" fillId="6" borderId="12" xfId="43" applyNumberFormat="1" applyFont="1" applyFill="1" applyBorder="1"/>
    <xf numFmtId="174" fontId="78" fillId="0" borderId="0" xfId="43" applyNumberFormat="1" applyFont="1" applyFill="1" applyBorder="1"/>
    <xf numFmtId="0" fontId="78" fillId="0" borderId="0" xfId="55" quotePrefix="1" applyFont="1" applyFill="1" applyBorder="1" applyAlignment="1">
      <alignment horizontal="center"/>
    </xf>
    <xf numFmtId="164" fontId="78" fillId="0" borderId="0" xfId="55" applyNumberFormat="1" applyFont="1" applyFill="1" applyBorder="1" applyAlignment="1">
      <alignment horizontal="center"/>
    </xf>
    <xf numFmtId="10" fontId="87" fillId="0" borderId="14" xfId="64" applyNumberFormat="1" applyFont="1" applyFill="1" applyBorder="1" applyAlignment="1"/>
    <xf numFmtId="178" fontId="86" fillId="0" borderId="0" xfId="64" applyNumberFormat="1" applyFont="1" applyFill="1" applyBorder="1"/>
    <xf numFmtId="10" fontId="78" fillId="0" borderId="0" xfId="55" applyNumberFormat="1" applyFont="1" applyFill="1" applyBorder="1" applyAlignment="1">
      <alignment horizontal="center"/>
    </xf>
    <xf numFmtId="0" fontId="78" fillId="0" borderId="10" xfId="55" applyFont="1" applyFill="1" applyBorder="1"/>
    <xf numFmtId="9" fontId="78" fillId="0" borderId="9" xfId="64" applyFont="1" applyFill="1" applyBorder="1"/>
    <xf numFmtId="172" fontId="65" fillId="0" borderId="0" xfId="0" applyFont="1" applyFill="1" applyAlignment="1"/>
    <xf numFmtId="10" fontId="78" fillId="0" borderId="9" xfId="66" applyNumberFormat="1" applyFont="1" applyFill="1" applyBorder="1"/>
    <xf numFmtId="9" fontId="65" fillId="0" borderId="0" xfId="55" applyNumberFormat="1" applyFont="1" applyFill="1" applyBorder="1"/>
    <xf numFmtId="0" fontId="65" fillId="0" borderId="0" xfId="55" applyFont="1" applyFill="1" applyBorder="1" applyAlignment="1">
      <alignment horizontal="center"/>
    </xf>
    <xf numFmtId="174" fontId="65" fillId="0" borderId="0" xfId="43" applyNumberFormat="1" applyFont="1" applyFill="1" applyBorder="1"/>
    <xf numFmtId="0" fontId="65" fillId="0" borderId="4" xfId="55" applyFont="1" applyFill="1" applyBorder="1" applyAlignment="1">
      <alignment horizontal="center"/>
    </xf>
    <xf numFmtId="10" fontId="78" fillId="0" borderId="12" xfId="66" applyNumberFormat="1" applyFont="1" applyFill="1" applyBorder="1"/>
    <xf numFmtId="0" fontId="78" fillId="0" borderId="0" xfId="55" applyFont="1" applyFill="1" applyBorder="1"/>
    <xf numFmtId="10" fontId="78" fillId="0" borderId="0" xfId="66" applyNumberFormat="1" applyFont="1" applyFill="1" applyBorder="1"/>
    <xf numFmtId="0" fontId="65" fillId="0" borderId="16" xfId="55" applyFont="1" applyFill="1" applyBorder="1"/>
    <xf numFmtId="174" fontId="65" fillId="0" borderId="14" xfId="43" applyNumberFormat="1" applyFont="1" applyFill="1" applyBorder="1"/>
    <xf numFmtId="174" fontId="65" fillId="0" borderId="9" xfId="43" applyNumberFormat="1" applyFont="1" applyFill="1" applyBorder="1" applyAlignment="1">
      <alignment horizontal="center"/>
    </xf>
    <xf numFmtId="0" fontId="65" fillId="13" borderId="10" xfId="55" applyFont="1" applyFill="1" applyBorder="1"/>
    <xf numFmtId="0" fontId="65" fillId="13" borderId="0" xfId="55" applyFont="1" applyFill="1" applyBorder="1"/>
    <xf numFmtId="173" fontId="65" fillId="13" borderId="0" xfId="35" applyNumberFormat="1" applyFont="1" applyFill="1" applyBorder="1" applyAlignment="1">
      <alignment horizontal="right"/>
    </xf>
    <xf numFmtId="173" fontId="65" fillId="13" borderId="9" xfId="35" applyNumberFormat="1" applyFont="1" applyFill="1" applyBorder="1" applyAlignment="1">
      <alignment horizontal="right"/>
    </xf>
    <xf numFmtId="173" fontId="65" fillId="0" borderId="0" xfId="55" applyNumberFormat="1" applyFont="1" applyFill="1" applyBorder="1"/>
    <xf numFmtId="10" fontId="65" fillId="0" borderId="0" xfId="55" applyNumberFormat="1" applyFont="1" applyFill="1" applyBorder="1"/>
    <xf numFmtId="173" fontId="86" fillId="0" borderId="0" xfId="55" applyNumberFormat="1" applyFont="1" applyFill="1" applyBorder="1"/>
    <xf numFmtId="3" fontId="65" fillId="0" borderId="0" xfId="55" applyNumberFormat="1" applyFont="1" applyFill="1" applyBorder="1"/>
    <xf numFmtId="173" fontId="65" fillId="13" borderId="0" xfId="35" applyNumberFormat="1" applyFont="1" applyFill="1" applyBorder="1"/>
    <xf numFmtId="173" fontId="65" fillId="13" borderId="9" xfId="35" applyNumberFormat="1" applyFont="1" applyFill="1" applyBorder="1"/>
    <xf numFmtId="43" fontId="65" fillId="13" borderId="0" xfId="32" applyFont="1" applyFill="1" applyBorder="1"/>
    <xf numFmtId="43" fontId="65" fillId="13" borderId="9" xfId="32" applyFont="1" applyFill="1" applyBorder="1"/>
    <xf numFmtId="0" fontId="65" fillId="0" borderId="10" xfId="55" applyFont="1" applyFill="1" applyBorder="1"/>
    <xf numFmtId="173" fontId="65" fillId="0" borderId="0" xfId="35" applyNumberFormat="1" applyFont="1" applyFill="1" applyBorder="1"/>
    <xf numFmtId="0" fontId="65" fillId="0" borderId="8" xfId="55" applyFont="1" applyFill="1" applyBorder="1"/>
    <xf numFmtId="173" fontId="78" fillId="0" borderId="47" xfId="35" applyNumberFormat="1" applyFont="1" applyFill="1" applyBorder="1"/>
    <xf numFmtId="0" fontId="65" fillId="0" borderId="13" xfId="55" applyFont="1" applyFill="1" applyBorder="1"/>
    <xf numFmtId="173" fontId="65" fillId="0" borderId="4" xfId="35" applyNumberFormat="1" applyFont="1" applyFill="1" applyBorder="1"/>
    <xf numFmtId="173" fontId="65" fillId="0" borderId="12" xfId="35" applyNumberFormat="1" applyFont="1" applyFill="1" applyBorder="1"/>
    <xf numFmtId="0" fontId="65" fillId="13" borderId="16" xfId="55" applyFont="1" applyFill="1" applyBorder="1"/>
    <xf numFmtId="173" fontId="65" fillId="13" borderId="15" xfId="35" applyNumberFormat="1" applyFont="1" applyFill="1" applyBorder="1"/>
    <xf numFmtId="0" fontId="65" fillId="13" borderId="15" xfId="55" applyFont="1" applyFill="1" applyBorder="1"/>
    <xf numFmtId="173" fontId="65" fillId="13" borderId="14" xfId="35" applyNumberFormat="1" applyFont="1" applyFill="1" applyBorder="1"/>
    <xf numFmtId="164" fontId="65" fillId="0" borderId="0" xfId="64" applyNumberFormat="1" applyFont="1" applyFill="1" applyBorder="1"/>
    <xf numFmtId="173" fontId="65" fillId="13" borderId="0" xfId="112" applyNumberFormat="1" applyFont="1" applyFill="1" applyBorder="1"/>
    <xf numFmtId="173" fontId="65" fillId="6" borderId="9" xfId="35" applyNumberFormat="1" applyFont="1" applyFill="1" applyBorder="1"/>
    <xf numFmtId="10" fontId="65" fillId="13" borderId="0" xfId="66" applyNumberFormat="1" applyFont="1" applyFill="1" applyBorder="1"/>
    <xf numFmtId="43" fontId="65" fillId="6" borderId="9" xfId="55" applyNumberFormat="1" applyFont="1" applyFill="1" applyBorder="1"/>
    <xf numFmtId="0" fontId="78" fillId="13" borderId="13" xfId="55" applyFont="1" applyFill="1" applyBorder="1"/>
    <xf numFmtId="173" fontId="65" fillId="13" borderId="4" xfId="35" applyNumberFormat="1" applyFont="1" applyFill="1" applyBorder="1"/>
    <xf numFmtId="0" fontId="65" fillId="13" borderId="4" xfId="55" applyFont="1" applyFill="1" applyBorder="1"/>
    <xf numFmtId="10" fontId="65" fillId="13" borderId="4" xfId="66" applyNumberFormat="1" applyFont="1" applyFill="1" applyBorder="1"/>
    <xf numFmtId="43" fontId="65" fillId="6" borderId="12" xfId="55" applyNumberFormat="1" applyFont="1" applyFill="1" applyBorder="1"/>
    <xf numFmtId="164" fontId="65" fillId="0" borderId="0" xfId="55" applyNumberFormat="1" applyFont="1" applyFill="1" applyBorder="1"/>
    <xf numFmtId="164" fontId="65" fillId="0" borderId="0" xfId="66" applyNumberFormat="1" applyFont="1" applyFill="1" applyBorder="1"/>
    <xf numFmtId="0" fontId="65" fillId="0" borderId="28" xfId="55" applyFont="1" applyFill="1" applyBorder="1"/>
    <xf numFmtId="0" fontId="78" fillId="0" borderId="3" xfId="55" applyFont="1" applyFill="1" applyBorder="1"/>
    <xf numFmtId="0" fontId="65" fillId="0" borderId="16" xfId="55" applyFont="1" applyFill="1" applyBorder="1" applyAlignment="1">
      <alignment horizontal="center"/>
    </xf>
    <xf numFmtId="0" fontId="65" fillId="0" borderId="15" xfId="55" applyFont="1" applyFill="1" applyBorder="1" applyAlignment="1">
      <alignment horizontal="center"/>
    </xf>
    <xf numFmtId="0" fontId="65" fillId="0" borderId="14" xfId="55" applyFont="1" applyFill="1" applyBorder="1" applyAlignment="1">
      <alignment horizontal="center"/>
    </xf>
    <xf numFmtId="0" fontId="78" fillId="0" borderId="10" xfId="55" applyFont="1" applyFill="1" applyBorder="1" applyAlignment="1">
      <alignment horizontal="center"/>
    </xf>
    <xf numFmtId="0" fontId="78" fillId="0" borderId="0" xfId="55" applyFont="1" applyFill="1" applyBorder="1" applyAlignment="1">
      <alignment horizontal="center" wrapText="1"/>
    </xf>
    <xf numFmtId="0" fontId="78" fillId="0" borderId="9" xfId="55" applyFont="1" applyFill="1" applyBorder="1" applyAlignment="1">
      <alignment horizontal="center" wrapText="1"/>
    </xf>
    <xf numFmtId="0" fontId="78" fillId="0" borderId="13" xfId="55" applyFont="1" applyFill="1" applyBorder="1" applyAlignment="1">
      <alignment horizontal="center"/>
    </xf>
    <xf numFmtId="0" fontId="65" fillId="0" borderId="4" xfId="55" applyFont="1" applyFill="1" applyBorder="1" applyAlignment="1">
      <alignment horizontal="center" wrapText="1"/>
    </xf>
    <xf numFmtId="0" fontId="65" fillId="0" borderId="12" xfId="55" applyFont="1" applyFill="1" applyBorder="1" applyAlignment="1">
      <alignment horizontal="center" wrapText="1"/>
    </xf>
    <xf numFmtId="14" fontId="88" fillId="13" borderId="10" xfId="55" applyNumberFormat="1" applyFont="1" applyFill="1" applyBorder="1" applyAlignment="1">
      <alignment horizontal="center"/>
    </xf>
    <xf numFmtId="0" fontId="65" fillId="13" borderId="0" xfId="55" applyFont="1" applyFill="1" applyBorder="1" applyAlignment="1">
      <alignment horizontal="center"/>
    </xf>
    <xf numFmtId="173" fontId="88" fillId="13" borderId="0" xfId="35" applyNumberFormat="1" applyFont="1" applyFill="1" applyBorder="1"/>
    <xf numFmtId="173" fontId="65" fillId="0" borderId="9" xfId="35" applyNumberFormat="1" applyFont="1" applyFill="1" applyBorder="1"/>
    <xf numFmtId="0" fontId="88" fillId="13" borderId="0" xfId="55" applyFont="1" applyFill="1" applyBorder="1" applyAlignment="1">
      <alignment horizontal="center"/>
    </xf>
    <xf numFmtId="173" fontId="88" fillId="0" borderId="0" xfId="35" applyNumberFormat="1" applyFont="1" applyFill="1" applyBorder="1"/>
    <xf numFmtId="43" fontId="65" fillId="0" borderId="0" xfId="35" applyNumberFormat="1" applyFont="1" applyFill="1" applyBorder="1"/>
    <xf numFmtId="43" fontId="65" fillId="0" borderId="0" xfId="32" applyFont="1" applyFill="1"/>
    <xf numFmtId="173" fontId="65" fillId="0" borderId="0" xfId="55" applyNumberFormat="1" applyFont="1" applyFill="1"/>
    <xf numFmtId="14" fontId="65" fillId="13" borderId="10" xfId="55" applyNumberFormat="1" applyFont="1" applyFill="1" applyBorder="1" applyAlignment="1">
      <alignment horizontal="center"/>
    </xf>
    <xf numFmtId="0" fontId="65" fillId="13" borderId="0" xfId="55" quotePrefix="1" applyFont="1" applyFill="1" applyBorder="1" applyAlignment="1">
      <alignment horizontal="center"/>
    </xf>
    <xf numFmtId="178" fontId="65" fillId="0" borderId="0" xfId="64" applyNumberFormat="1" applyFont="1" applyFill="1" applyBorder="1"/>
    <xf numFmtId="180" fontId="65" fillId="0" borderId="0" xfId="35" applyNumberFormat="1" applyFont="1" applyFill="1" applyBorder="1"/>
    <xf numFmtId="14" fontId="65" fillId="0" borderId="13" xfId="55" applyNumberFormat="1" applyFont="1" applyFill="1" applyBorder="1" applyAlignment="1">
      <alignment horizontal="center"/>
    </xf>
    <xf numFmtId="0" fontId="65" fillId="0" borderId="0" xfId="55" applyFont="1"/>
    <xf numFmtId="0" fontId="65" fillId="0" borderId="0" xfId="55" applyFont="1" applyAlignment="1">
      <alignment horizontal="left"/>
    </xf>
    <xf numFmtId="172" fontId="24" fillId="0" borderId="0" xfId="113" applyFont="1" applyFill="1" applyAlignment="1"/>
    <xf numFmtId="172" fontId="0" fillId="12"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1" fillId="0" borderId="0" xfId="59" applyNumberFormat="1" applyFont="1" applyFill="1" applyBorder="1" applyAlignment="1">
      <alignment horizontal="center"/>
    </xf>
    <xf numFmtId="0" fontId="40" fillId="0" borderId="4" xfId="62" applyNumberFormat="1" applyFont="1" applyFill="1" applyBorder="1" applyAlignment="1" applyProtection="1">
      <alignment horizontal="center"/>
      <protection locked="0"/>
    </xf>
    <xf numFmtId="172" fontId="69" fillId="0" borderId="0" xfId="0" applyFont="1" applyAlignment="1">
      <alignment vertical="center"/>
    </xf>
    <xf numFmtId="0" fontId="69" fillId="0" borderId="0" xfId="55" applyFont="1" applyFill="1"/>
    <xf numFmtId="0" fontId="69" fillId="0" borderId="0" xfId="55" applyFont="1"/>
    <xf numFmtId="0" fontId="69" fillId="0" borderId="0" xfId="55" applyFont="1" applyFill="1" applyAlignment="1">
      <alignment horizontal="left"/>
    </xf>
    <xf numFmtId="0" fontId="69" fillId="0" borderId="0" xfId="55" applyFont="1" applyFill="1" applyAlignment="1">
      <alignment horizontal="center" wrapText="1"/>
    </xf>
    <xf numFmtId="173" fontId="69" fillId="0" borderId="0" xfId="32" applyNumberFormat="1" applyFont="1" applyFill="1"/>
    <xf numFmtId="0" fontId="69" fillId="0" borderId="0" xfId="55" applyFont="1" applyFill="1" applyAlignment="1">
      <alignment horizontal="right"/>
    </xf>
    <xf numFmtId="0" fontId="91" fillId="0" borderId="0" xfId="55" applyFont="1" applyFill="1"/>
    <xf numFmtId="173" fontId="69" fillId="0" borderId="0" xfId="35" applyNumberFormat="1" applyFont="1" applyFill="1"/>
    <xf numFmtId="172" fontId="69" fillId="0" borderId="0" xfId="0" applyFont="1" applyFill="1" applyAlignment="1">
      <alignment vertical="top" wrapText="1"/>
    </xf>
    <xf numFmtId="172" fontId="65" fillId="0" borderId="0" xfId="0" applyFont="1" applyAlignment="1">
      <alignment horizontal="left" wrapText="1"/>
    </xf>
    <xf numFmtId="172" fontId="0" fillId="0" borderId="0" xfId="0" applyBorder="1" applyAlignment="1">
      <alignment horizontal="center"/>
    </xf>
    <xf numFmtId="172" fontId="29" fillId="0" borderId="0" xfId="0" applyFont="1" applyFill="1" applyBorder="1" applyAlignment="1">
      <alignment horizontal="center"/>
    </xf>
    <xf numFmtId="172" fontId="29" fillId="0" borderId="6" xfId="0" applyFont="1" applyBorder="1" applyAlignment="1">
      <alignment horizontal="center"/>
    </xf>
    <xf numFmtId="172" fontId="29"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4" fillId="6" borderId="48" xfId="32" applyNumberFormat="1" applyFill="1" applyBorder="1"/>
    <xf numFmtId="173" fontId="4" fillId="0" borderId="9" xfId="32" applyNumberFormat="1" applyBorder="1"/>
    <xf numFmtId="173" fontId="4" fillId="6" borderId="49" xfId="32" applyNumberFormat="1" applyFill="1" applyBorder="1"/>
    <xf numFmtId="173" fontId="4" fillId="0" borderId="50" xfId="32" applyNumberFormat="1" applyBorder="1"/>
    <xf numFmtId="172" fontId="0" fillId="0" borderId="0" xfId="0" applyFill="1" applyBorder="1" applyAlignment="1">
      <alignment horizontal="left" indent="2"/>
    </xf>
    <xf numFmtId="173" fontId="4" fillId="6" borderId="51" xfId="32" applyNumberFormat="1" applyFill="1" applyBorder="1"/>
    <xf numFmtId="172" fontId="0" fillId="0" borderId="0" xfId="0" applyFill="1" applyBorder="1" applyAlignment="1">
      <alignment horizontal="left"/>
    </xf>
    <xf numFmtId="172" fontId="4" fillId="0" borderId="0" xfId="0" applyFont="1" applyFill="1" applyBorder="1" applyAlignment="1">
      <alignment horizontal="center"/>
    </xf>
    <xf numFmtId="173" fontId="4" fillId="0" borderId="0" xfId="32" applyNumberFormat="1" applyBorder="1"/>
    <xf numFmtId="173" fontId="4" fillId="0" borderId="3" xfId="32" applyNumberFormat="1" applyBorder="1"/>
    <xf numFmtId="172" fontId="4" fillId="0" borderId="0" xfId="0" applyFont="1" applyFill="1" applyBorder="1"/>
    <xf numFmtId="172" fontId="4" fillId="0" borderId="0" xfId="0" applyFont="1" applyFill="1" applyBorder="1" applyAlignment="1">
      <alignment horizontal="left" wrapText="1" indent="1"/>
    </xf>
    <xf numFmtId="173" fontId="4" fillId="0" borderId="9" xfId="32" applyNumberFormat="1" applyFill="1" applyBorder="1"/>
    <xf numFmtId="172" fontId="0" fillId="0" borderId="0" xfId="0" applyFill="1" applyBorder="1" applyAlignment="1">
      <alignment horizontal="left" wrapText="1" indent="1"/>
    </xf>
    <xf numFmtId="172" fontId="4" fillId="0" borderId="0" xfId="0" applyFont="1" applyFill="1" applyBorder="1" applyAlignment="1">
      <alignment horizontal="left" wrapText="1" indent="2"/>
    </xf>
    <xf numFmtId="172" fontId="4" fillId="0" borderId="0" xfId="0" applyFont="1" applyFill="1" applyBorder="1" applyAlignment="1">
      <alignment horizontal="left" indent="1"/>
    </xf>
    <xf numFmtId="172" fontId="4" fillId="0" borderId="0" xfId="0" applyFont="1" applyBorder="1" applyAlignment="1">
      <alignment horizontal="left" indent="1"/>
    </xf>
    <xf numFmtId="172" fontId="0" fillId="0" borderId="4" xfId="0" applyBorder="1"/>
    <xf numFmtId="173" fontId="4"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0" fillId="0" borderId="13" xfId="32" applyNumberFormat="1" applyFont="1" applyBorder="1" applyAlignment="1">
      <alignment horizontal="center"/>
    </xf>
    <xf numFmtId="0" fontId="51"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4" fillId="6" borderId="52" xfId="32" applyNumberFormat="1" applyFont="1" applyFill="1" applyBorder="1"/>
    <xf numFmtId="173" fontId="4"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29" fillId="0" borderId="6" xfId="32" applyNumberFormat="1" applyFont="1" applyFill="1" applyBorder="1" applyAlignment="1">
      <alignment horizontal="center"/>
    </xf>
    <xf numFmtId="173" fontId="29"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0" fillId="0" borderId="3" xfId="32" applyNumberFormat="1" applyFont="1" applyBorder="1"/>
    <xf numFmtId="173" fontId="29" fillId="0" borderId="0" xfId="32" applyNumberFormat="1" applyFont="1" applyBorder="1"/>
    <xf numFmtId="173" fontId="29" fillId="0" borderId="9" xfId="32" applyNumberFormat="1" applyFont="1" applyBorder="1"/>
    <xf numFmtId="173" fontId="0" fillId="0" borderId="4" xfId="32" applyNumberFormat="1" applyFont="1" applyBorder="1"/>
    <xf numFmtId="173" fontId="0" fillId="0" borderId="12" xfId="32" applyNumberFormat="1" applyFont="1" applyBorder="1"/>
    <xf numFmtId="0" fontId="29" fillId="0" borderId="10" xfId="32" applyNumberFormat="1" applyFont="1" applyBorder="1" applyAlignment="1">
      <alignment horizontal="center"/>
    </xf>
    <xf numFmtId="173" fontId="51" fillId="7" borderId="0" xfId="32" applyNumberFormat="1" applyFont="1" applyFill="1" applyBorder="1" applyAlignment="1">
      <alignment horizontal="center" wrapText="1"/>
    </xf>
    <xf numFmtId="0" fontId="4" fillId="0" borderId="16" xfId="32" applyNumberFormat="1" applyFont="1" applyFill="1" applyBorder="1" applyAlignment="1">
      <alignment horizontal="center"/>
    </xf>
    <xf numFmtId="3" fontId="29" fillId="0" borderId="15" xfId="55" applyNumberFormat="1" applyFont="1" applyFill="1" applyBorder="1" applyAlignment="1">
      <alignment horizontal="left"/>
    </xf>
    <xf numFmtId="0" fontId="4" fillId="0" borderId="15" xfId="55" applyFont="1" applyFill="1" applyBorder="1"/>
    <xf numFmtId="173" fontId="4" fillId="0" borderId="15" xfId="32" applyNumberFormat="1" applyFont="1" applyFill="1" applyBorder="1"/>
    <xf numFmtId="173" fontId="4" fillId="0" borderId="15" xfId="32" applyNumberFormat="1" applyFont="1" applyFill="1" applyBorder="1" applyAlignment="1">
      <alignment horizontal="center"/>
    </xf>
    <xf numFmtId="173" fontId="4" fillId="0" borderId="15" xfId="32" applyNumberFormat="1" applyFont="1" applyBorder="1"/>
    <xf numFmtId="173" fontId="4" fillId="0" borderId="14" xfId="32" applyNumberFormat="1" applyFont="1" applyBorder="1"/>
    <xf numFmtId="172" fontId="65" fillId="13" borderId="0" xfId="0" applyFont="1" applyFill="1" applyAlignment="1"/>
    <xf numFmtId="0" fontId="65" fillId="13" borderId="10" xfId="0" applyNumberFormat="1" applyFont="1" applyFill="1" applyBorder="1" applyAlignment="1">
      <alignment horizontal="center"/>
    </xf>
    <xf numFmtId="0" fontId="65" fillId="13"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11" fillId="13" borderId="0" xfId="32" applyNumberFormat="1" applyFont="1" applyFill="1" applyAlignment="1"/>
    <xf numFmtId="10" fontId="65" fillId="13" borderId="0" xfId="0" applyNumberFormat="1" applyFont="1" applyFill="1" applyBorder="1" applyAlignment="1">
      <alignment horizontal="center"/>
    </xf>
    <xf numFmtId="170" fontId="65" fillId="13" borderId="0" xfId="0" applyNumberFormat="1" applyFont="1" applyFill="1" applyBorder="1" applyAlignment="1" applyProtection="1">
      <alignment horizontal="center"/>
      <protection locked="0"/>
    </xf>
    <xf numFmtId="44" fontId="65" fillId="13" borderId="0" xfId="0" applyNumberFormat="1" applyFont="1" applyFill="1" applyBorder="1" applyProtection="1">
      <protection locked="0"/>
    </xf>
    <xf numFmtId="172" fontId="65" fillId="13" borderId="0" xfId="0" applyFont="1" applyFill="1" applyBorder="1" applyProtection="1">
      <protection locked="0"/>
    </xf>
    <xf numFmtId="164" fontId="65" fillId="13" borderId="0" xfId="0" applyNumberFormat="1" applyFont="1" applyFill="1" applyBorder="1" applyProtection="1">
      <protection locked="0"/>
    </xf>
    <xf numFmtId="0" fontId="39" fillId="0" borderId="0" xfId="60" applyNumberFormat="1" applyFont="1" applyAlignment="1" applyProtection="1">
      <alignment horizontal="center" vertical="top"/>
      <protection locked="0"/>
    </xf>
    <xf numFmtId="0" fontId="4" fillId="0" borderId="0" xfId="53" applyFill="1" applyAlignment="1">
      <alignment horizontal="center"/>
    </xf>
    <xf numFmtId="0" fontId="11" fillId="0" borderId="0" xfId="55" applyFont="1" applyFill="1"/>
    <xf numFmtId="0" fontId="6" fillId="0" borderId="0" xfId="55" applyFont="1" applyAlignment="1"/>
    <xf numFmtId="0" fontId="11" fillId="0" borderId="0" xfId="55" applyFont="1"/>
    <xf numFmtId="173" fontId="11" fillId="0" borderId="0" xfId="35" applyNumberFormat="1" applyFont="1" applyAlignment="1"/>
    <xf numFmtId="0" fontId="11" fillId="0" borderId="0" xfId="55" applyFont="1" applyAlignment="1"/>
    <xf numFmtId="173" fontId="11" fillId="6" borderId="0" xfId="35" applyNumberFormat="1" applyFont="1" applyFill="1" applyAlignment="1"/>
    <xf numFmtId="173" fontId="11" fillId="0" borderId="0" xfId="35" applyNumberFormat="1" applyFont="1" applyFill="1" applyBorder="1" applyAlignment="1">
      <alignment wrapText="1"/>
    </xf>
    <xf numFmtId="0" fontId="11" fillId="0" borderId="0" xfId="55" applyFont="1" applyFill="1" applyAlignment="1">
      <alignment vertical="top"/>
    </xf>
    <xf numFmtId="0" fontId="11" fillId="0" borderId="0" xfId="55" applyFont="1" applyFill="1" applyAlignment="1"/>
    <xf numFmtId="173" fontId="11" fillId="0" borderId="0" xfId="35" applyNumberFormat="1" applyFont="1" applyFill="1" applyAlignment="1"/>
    <xf numFmtId="0" fontId="93" fillId="0" borderId="0" xfId="55" applyFont="1" applyFill="1"/>
    <xf numFmtId="0" fontId="93" fillId="0" borderId="0" xfId="55" applyFont="1"/>
    <xf numFmtId="0" fontId="94" fillId="0" borderId="0" xfId="55" applyFont="1" applyAlignment="1">
      <alignment horizontal="center"/>
    </xf>
    <xf numFmtId="173" fontId="11" fillId="0" borderId="0" xfId="35" applyNumberFormat="1" applyFont="1" applyBorder="1" applyAlignment="1"/>
    <xf numFmtId="172" fontId="11" fillId="0" borderId="6" xfId="0" applyFont="1" applyBorder="1"/>
    <xf numFmtId="172" fontId="11" fillId="0" borderId="0" xfId="0" applyFont="1"/>
    <xf numFmtId="172" fontId="11" fillId="0" borderId="0" xfId="0" applyFont="1" applyBorder="1" applyAlignment="1">
      <alignment horizontal="centerContinuous"/>
    </xf>
    <xf numFmtId="0" fontId="11" fillId="0" borderId="0" xfId="0" applyNumberFormat="1" applyFont="1" applyAlignment="1">
      <alignment horizontal="center"/>
    </xf>
    <xf numFmtId="172" fontId="95" fillId="0" borderId="0" xfId="0" applyFont="1" applyAlignment="1">
      <alignment horizontal="right"/>
    </xf>
    <xf numFmtId="169" fontId="11" fillId="0" borderId="0" xfId="0" applyNumberFormat="1" applyFont="1"/>
    <xf numFmtId="43" fontId="11" fillId="0" borderId="0" xfId="32" applyFont="1"/>
    <xf numFmtId="43" fontId="11" fillId="13" borderId="0" xfId="32" applyFont="1" applyFill="1"/>
    <xf numFmtId="43" fontId="11" fillId="0" borderId="6" xfId="32" applyFont="1" applyBorder="1"/>
    <xf numFmtId="43" fontId="11" fillId="0" borderId="29" xfId="32" applyFont="1" applyBorder="1"/>
    <xf numFmtId="41" fontId="11" fillId="0" borderId="0" xfId="0" applyNumberFormat="1" applyFont="1"/>
    <xf numFmtId="41" fontId="11" fillId="13" borderId="0" xfId="0" applyNumberFormat="1" applyFont="1" applyFill="1"/>
    <xf numFmtId="41" fontId="11" fillId="0" borderId="6" xfId="0" applyNumberFormat="1" applyFont="1" applyBorder="1"/>
    <xf numFmtId="169" fontId="6" fillId="0" borderId="0" xfId="0" applyNumberFormat="1" applyFont="1"/>
    <xf numFmtId="0" fontId="11" fillId="0" borderId="0" xfId="55" applyFont="1" applyAlignment="1">
      <alignment horizontal="center"/>
    </xf>
    <xf numFmtId="41" fontId="11" fillId="0" borderId="0" xfId="55" applyNumberFormat="1" applyFont="1"/>
    <xf numFmtId="0" fontId="11" fillId="0" borderId="0" xfId="55" applyFont="1" applyFill="1" applyAlignment="1">
      <alignment horizontal="center"/>
    </xf>
    <xf numFmtId="173" fontId="11" fillId="0" borderId="0" xfId="35" applyNumberFormat="1" applyFont="1" applyFill="1" applyAlignment="1">
      <alignment horizontal="right"/>
    </xf>
    <xf numFmtId="173" fontId="11" fillId="0" borderId="0" xfId="35" applyNumberFormat="1" applyFont="1" applyFill="1"/>
    <xf numFmtId="173" fontId="48" fillId="0" borderId="0" xfId="35" applyNumberFormat="1" applyFont="1" applyFill="1" applyAlignment="1">
      <alignment vertical="top"/>
    </xf>
    <xf numFmtId="0" fontId="48" fillId="0" borderId="0" xfId="55" applyFont="1" applyAlignment="1">
      <alignment vertical="top"/>
    </xf>
    <xf numFmtId="173" fontId="4" fillId="6" borderId="10" xfId="35" applyNumberFormat="1" applyFont="1" applyFill="1" applyBorder="1" applyAlignment="1"/>
    <xf numFmtId="173" fontId="4" fillId="6" borderId="0" xfId="35" applyNumberFormat="1" applyFont="1" applyFill="1" applyBorder="1" applyAlignment="1"/>
    <xf numFmtId="173" fontId="4" fillId="6" borderId="27" xfId="35" applyNumberFormat="1" applyFont="1" applyFill="1" applyBorder="1" applyAlignment="1"/>
    <xf numFmtId="173" fontId="4" fillId="6" borderId="6" xfId="35" applyNumberFormat="1" applyFont="1" applyFill="1" applyBorder="1" applyAlignment="1"/>
    <xf numFmtId="173" fontId="4" fillId="6" borderId="9" xfId="35" applyNumberFormat="1" applyFont="1" applyFill="1" applyBorder="1" applyAlignment="1"/>
    <xf numFmtId="173" fontId="4" fillId="6" borderId="11" xfId="35" applyNumberFormat="1" applyFont="1" applyFill="1" applyBorder="1" applyAlignment="1"/>
    <xf numFmtId="173" fontId="46" fillId="0" borderId="0" xfId="55" applyNumberFormat="1" applyFont="1" applyFill="1" applyBorder="1" applyAlignment="1">
      <alignment horizontal="left"/>
    </xf>
    <xf numFmtId="164" fontId="46" fillId="0" borderId="0" xfId="66" applyNumberFormat="1" applyFont="1" applyFill="1" applyBorder="1" applyAlignment="1"/>
    <xf numFmtId="0" fontId="46" fillId="0" borderId="0" xfId="55" applyFont="1" applyFill="1" applyBorder="1" applyAlignment="1">
      <alignment horizontal="center" wrapText="1"/>
    </xf>
    <xf numFmtId="0" fontId="46" fillId="0" borderId="9" xfId="55" applyFont="1" applyFill="1" applyBorder="1" applyAlignment="1">
      <alignment horizontal="center" wrapText="1"/>
    </xf>
    <xf numFmtId="164" fontId="46" fillId="0" borderId="0" xfId="66" applyNumberFormat="1" applyFont="1" applyFill="1" applyBorder="1" applyAlignment="1">
      <alignment horizontal="left"/>
    </xf>
    <xf numFmtId="0" fontId="46" fillId="0" borderId="0" xfId="55" applyFont="1" applyFill="1" applyBorder="1" applyAlignment="1">
      <alignment horizontal="left"/>
    </xf>
    <xf numFmtId="0" fontId="46" fillId="0" borderId="9" xfId="55" applyFont="1" applyFill="1" applyBorder="1" applyAlignment="1">
      <alignment horizontal="center"/>
    </xf>
    <xf numFmtId="173" fontId="46" fillId="0" borderId="0" xfId="35" applyNumberFormat="1" applyFont="1" applyFill="1" applyBorder="1" applyAlignment="1">
      <alignment horizontal="left"/>
    </xf>
    <xf numFmtId="173" fontId="46" fillId="0" borderId="0" xfId="35" applyNumberFormat="1" applyFont="1" applyFill="1" applyBorder="1"/>
    <xf numFmtId="0" fontId="46" fillId="0" borderId="0" xfId="55" applyFont="1" applyFill="1" applyBorder="1"/>
    <xf numFmtId="0" fontId="11" fillId="0" borderId="0" xfId="55" applyFont="1" applyBorder="1" applyAlignment="1">
      <alignment horizontal="right"/>
    </xf>
    <xf numFmtId="0" fontId="11" fillId="0" borderId="0" xfId="55" applyFont="1" applyBorder="1"/>
    <xf numFmtId="1" fontId="34" fillId="0" borderId="0" xfId="55" applyNumberFormat="1" applyFont="1" applyFill="1" applyBorder="1" applyAlignment="1">
      <alignment horizontal="center"/>
    </xf>
    <xf numFmtId="173" fontId="4" fillId="13" borderId="0" xfId="35" applyNumberFormat="1" applyFont="1" applyFill="1" applyBorder="1" applyAlignment="1"/>
    <xf numFmtId="0" fontId="46" fillId="0" borderId="4" xfId="55" applyFont="1" applyBorder="1"/>
    <xf numFmtId="173" fontId="46" fillId="0" borderId="4" xfId="55" applyNumberFormat="1" applyFont="1" applyBorder="1"/>
    <xf numFmtId="0" fontId="54" fillId="0" borderId="0" xfId="55" applyFont="1" applyFill="1" applyBorder="1"/>
    <xf numFmtId="1" fontId="53" fillId="0" borderId="0" xfId="55" applyNumberFormat="1" applyFont="1" applyFill="1" applyBorder="1" applyAlignment="1">
      <alignment horizontal="center"/>
    </xf>
    <xf numFmtId="172" fontId="4" fillId="0" borderId="0" xfId="0" applyFont="1" applyBorder="1" applyAlignment="1"/>
    <xf numFmtId="169" fontId="4" fillId="0" borderId="0" xfId="0" applyNumberFormat="1" applyFont="1" applyFill="1" applyBorder="1" applyAlignment="1">
      <alignment horizontal="right"/>
    </xf>
    <xf numFmtId="173" fontId="4" fillId="0" borderId="0" xfId="32" applyNumberFormat="1" applyFont="1" applyFill="1" applyBorder="1" applyAlignment="1">
      <alignment horizontal="right"/>
    </xf>
    <xf numFmtId="181" fontId="4" fillId="0" borderId="0" xfId="0" applyNumberFormat="1" applyFont="1" applyFill="1" applyBorder="1" applyAlignment="1"/>
    <xf numFmtId="173" fontId="4" fillId="13" borderId="0" xfId="32" applyNumberFormat="1" applyFont="1" applyFill="1" applyBorder="1" applyAlignment="1">
      <alignment horizontal="right"/>
    </xf>
    <xf numFmtId="173" fontId="4" fillId="0" borderId="0" xfId="32" applyNumberFormat="1" applyFont="1" applyBorder="1" applyAlignment="1"/>
    <xf numFmtId="172" fontId="29" fillId="0" borderId="0" xfId="0" applyFont="1" applyBorder="1" applyAlignment="1"/>
    <xf numFmtId="43" fontId="4" fillId="0" borderId="0" xfId="32" applyFont="1" applyBorder="1"/>
    <xf numFmtId="0" fontId="39" fillId="0" borderId="0" xfId="60" applyNumberFormat="1" applyFont="1" applyFill="1" applyAlignment="1" applyProtection="1">
      <alignment horizontal="center" vertical="top"/>
      <protection locked="0"/>
    </xf>
    <xf numFmtId="0" fontId="92" fillId="0" borderId="0" xfId="0" applyNumberFormat="1" applyFont="1" applyFill="1" applyBorder="1" applyAlignment="1">
      <alignment horizontal="center"/>
    </xf>
    <xf numFmtId="173" fontId="0" fillId="0" borderId="0" xfId="32" applyNumberFormat="1" applyFont="1" applyFill="1" applyAlignment="1"/>
    <xf numFmtId="172" fontId="98" fillId="0" borderId="0" xfId="0" applyFont="1" applyAlignment="1"/>
    <xf numFmtId="170" fontId="98" fillId="0" borderId="0" xfId="64" applyNumberFormat="1" applyFont="1" applyAlignment="1"/>
    <xf numFmtId="173" fontId="46" fillId="0" borderId="0" xfId="32" applyNumberFormat="1" applyFont="1" applyBorder="1"/>
    <xf numFmtId="182" fontId="46" fillId="0" borderId="0" xfId="32" applyNumberFormat="1" applyFont="1" applyAlignment="1">
      <alignment horizontal="center"/>
    </xf>
    <xf numFmtId="173" fontId="46" fillId="0" borderId="0" xfId="32" applyNumberFormat="1" applyFont="1" applyFill="1" applyBorder="1"/>
    <xf numFmtId="183" fontId="0" fillId="0" borderId="0" xfId="32" applyNumberFormat="1" applyFont="1"/>
    <xf numFmtId="173" fontId="99" fillId="0" borderId="0" xfId="32" applyNumberFormat="1" applyFont="1" applyFill="1" applyAlignment="1">
      <alignment vertical="center"/>
    </xf>
    <xf numFmtId="172" fontId="101"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2" borderId="6" xfId="0" applyFill="1" applyBorder="1" applyAlignment="1">
      <alignment horizontal="center"/>
    </xf>
    <xf numFmtId="172" fontId="0" fillId="0" borderId="6" xfId="0" applyFill="1" applyBorder="1" applyAlignment="1">
      <alignment horizontal="center"/>
    </xf>
    <xf numFmtId="183" fontId="102" fillId="12" borderId="0" xfId="32" applyNumberFormat="1" applyFont="1" applyFill="1"/>
    <xf numFmtId="170" fontId="0" fillId="0" borderId="0" xfId="64" applyNumberFormat="1" applyFont="1" applyAlignment="1"/>
    <xf numFmtId="172" fontId="69" fillId="0" borderId="0" xfId="0" applyFont="1" applyBorder="1" applyAlignment="1">
      <alignment vertical="center"/>
    </xf>
    <xf numFmtId="0" fontId="69" fillId="0" borderId="0" xfId="55" applyFont="1" applyFill="1" applyBorder="1"/>
    <xf numFmtId="173" fontId="69" fillId="0" borderId="0" xfId="32" applyNumberFormat="1" applyFont="1" applyFill="1" applyBorder="1"/>
    <xf numFmtId="172" fontId="106" fillId="0" borderId="0" xfId="116" applyFont="1" applyBorder="1" applyAlignment="1">
      <alignment vertical="center"/>
    </xf>
    <xf numFmtId="172" fontId="106" fillId="12" borderId="0" xfId="116" applyFont="1" applyFill="1" applyBorder="1" applyAlignment="1">
      <alignment vertical="center"/>
    </xf>
    <xf numFmtId="0" fontId="69" fillId="12" borderId="0" xfId="55" applyFont="1" applyFill="1" applyBorder="1"/>
    <xf numFmtId="173" fontId="69" fillId="12" borderId="0" xfId="32" applyNumberFormat="1" applyFont="1" applyFill="1" applyBorder="1"/>
    <xf numFmtId="173" fontId="46" fillId="12" borderId="0" xfId="32" applyNumberFormat="1" applyFont="1" applyFill="1" applyBorder="1"/>
    <xf numFmtId="173" fontId="99" fillId="12" borderId="0" xfId="32" applyNumberFormat="1" applyFont="1" applyFill="1" applyAlignment="1">
      <alignment vertical="center"/>
    </xf>
    <xf numFmtId="173" fontId="0" fillId="12"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1" fillId="0" borderId="0" xfId="0" applyFont="1" applyAlignment="1"/>
    <xf numFmtId="173" fontId="24" fillId="12" borderId="0" xfId="32" applyNumberFormat="1" applyFont="1" applyFill="1" applyAlignment="1"/>
    <xf numFmtId="172" fontId="0" fillId="0" borderId="0" xfId="0" applyBorder="1" applyAlignment="1"/>
    <xf numFmtId="172" fontId="100" fillId="0" borderId="0" xfId="0" applyFont="1" applyBorder="1" applyAlignment="1"/>
    <xf numFmtId="172" fontId="0" fillId="0" borderId="0" xfId="0" applyFont="1" applyBorder="1" applyAlignment="1"/>
    <xf numFmtId="172" fontId="98" fillId="0" borderId="0" xfId="0" applyFont="1" applyBorder="1" applyAlignment="1"/>
    <xf numFmtId="9" fontId="24" fillId="0" borderId="0" xfId="64" applyFont="1" applyBorder="1" applyAlignment="1"/>
    <xf numFmtId="169" fontId="0" fillId="0" borderId="0" xfId="0" applyNumberFormat="1" applyFont="1" applyBorder="1" applyAlignment="1"/>
    <xf numFmtId="169" fontId="110" fillId="0" borderId="0" xfId="0" applyNumberFormat="1" applyFont="1" applyBorder="1" applyAlignment="1"/>
    <xf numFmtId="170" fontId="98" fillId="0" borderId="0" xfId="64" applyNumberFormat="1" applyFont="1" applyBorder="1" applyAlignment="1"/>
    <xf numFmtId="169" fontId="109" fillId="0" borderId="0" xfId="0" applyNumberFormat="1" applyFont="1" applyBorder="1" applyAlignment="1"/>
    <xf numFmtId="172" fontId="108"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8" fillId="0" borderId="0" xfId="64" applyNumberFormat="1" applyFont="1" applyBorder="1" applyAlignment="1">
      <alignment horizontal="right"/>
    </xf>
    <xf numFmtId="172" fontId="111"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2" borderId="0" xfId="32" applyNumberFormat="1" applyFont="1" applyFill="1" applyBorder="1" applyAlignment="1"/>
    <xf numFmtId="172" fontId="0" fillId="0" borderId="0" xfId="0" applyAlignment="1">
      <alignment horizontal="right"/>
    </xf>
    <xf numFmtId="0" fontId="4" fillId="0" borderId="0" xfId="120"/>
    <xf numFmtId="0" fontId="4" fillId="0" borderId="0" xfId="120" applyAlignment="1">
      <alignment horizontal="center"/>
    </xf>
    <xf numFmtId="0" fontId="4" fillId="0" borderId="0" xfId="120" applyFont="1"/>
    <xf numFmtId="174" fontId="46" fillId="0" borderId="54" xfId="120" applyNumberFormat="1" applyFont="1" applyBorder="1"/>
    <xf numFmtId="172" fontId="46" fillId="0" borderId="0" xfId="113" applyFont="1"/>
    <xf numFmtId="1" fontId="46" fillId="0" borderId="0" xfId="113" applyNumberFormat="1" applyFont="1" applyAlignment="1">
      <alignment horizontal="center"/>
    </xf>
    <xf numFmtId="0" fontId="4" fillId="12" borderId="0" xfId="120" applyFill="1"/>
    <xf numFmtId="172" fontId="24" fillId="0" borderId="0" xfId="113"/>
    <xf numFmtId="0" fontId="46" fillId="0" borderId="0" xfId="120" applyFont="1"/>
    <xf numFmtId="0" fontId="4" fillId="0" borderId="0" xfId="120" applyBorder="1"/>
    <xf numFmtId="0" fontId="46" fillId="0" borderId="0" xfId="120" applyFont="1" applyBorder="1"/>
    <xf numFmtId="43" fontId="4" fillId="0" borderId="0" xfId="32" applyFont="1"/>
    <xf numFmtId="172" fontId="46" fillId="12" borderId="0" xfId="113" applyFont="1" applyFill="1"/>
    <xf numFmtId="172" fontId="46" fillId="0" borderId="0" xfId="113" applyFont="1" applyAlignment="1">
      <alignment horizontal="center"/>
    </xf>
    <xf numFmtId="0" fontId="46" fillId="0" borderId="6" xfId="120" applyFont="1" applyBorder="1" applyAlignment="1">
      <alignment horizontal="center" wrapText="1"/>
    </xf>
    <xf numFmtId="172" fontId="46" fillId="0" borderId="6" xfId="113" applyFont="1" applyBorder="1" applyAlignment="1">
      <alignment horizontal="center" wrapText="1"/>
    </xf>
    <xf numFmtId="172" fontId="46" fillId="0" borderId="6" xfId="113" applyFont="1" applyBorder="1" applyAlignment="1">
      <alignment wrapText="1"/>
    </xf>
    <xf numFmtId="172" fontId="46" fillId="0" borderId="0" xfId="113" applyFont="1" applyFill="1"/>
    <xf numFmtId="172" fontId="46" fillId="0" borderId="0" xfId="113" applyFont="1" applyFill="1" applyAlignment="1">
      <alignment horizontal="left"/>
    </xf>
    <xf numFmtId="172" fontId="46" fillId="0" borderId="0" xfId="113" applyFont="1" applyAlignment="1">
      <alignment horizontal="left"/>
    </xf>
    <xf numFmtId="172" fontId="91" fillId="0" borderId="0" xfId="113" applyFont="1" applyFill="1" applyAlignment="1">
      <alignment horizontal="left"/>
    </xf>
    <xf numFmtId="0" fontId="46" fillId="0" borderId="0" xfId="120" applyFont="1" applyAlignment="1">
      <alignment horizontal="center"/>
    </xf>
    <xf numFmtId="172" fontId="24" fillId="12" borderId="0" xfId="113" applyFont="1" applyFill="1" applyAlignment="1"/>
    <xf numFmtId="0" fontId="46" fillId="0" borderId="0" xfId="120" applyFont="1" applyFill="1"/>
    <xf numFmtId="0" fontId="97" fillId="0" borderId="0" xfId="120" applyFont="1" applyFill="1"/>
    <xf numFmtId="42" fontId="24" fillId="0" borderId="0" xfId="113" applyNumberFormat="1"/>
    <xf numFmtId="41" fontId="24" fillId="0" borderId="0" xfId="113" applyNumberFormat="1"/>
    <xf numFmtId="42" fontId="69" fillId="12" borderId="0" xfId="113" applyNumberFormat="1" applyFont="1" applyFill="1"/>
    <xf numFmtId="41" fontId="69" fillId="12" borderId="0" xfId="113" applyNumberFormat="1" applyFont="1" applyFill="1"/>
    <xf numFmtId="172" fontId="69" fillId="12" borderId="0" xfId="113" applyFont="1" applyFill="1"/>
    <xf numFmtId="172" fontId="4" fillId="0" borderId="0" xfId="113" applyFont="1" applyFill="1"/>
    <xf numFmtId="172" fontId="96" fillId="0" borderId="0" xfId="113" applyFont="1" applyFill="1"/>
    <xf numFmtId="172" fontId="90" fillId="0" borderId="0" xfId="113" applyFont="1"/>
    <xf numFmtId="172" fontId="24" fillId="0" borderId="0" xfId="113" applyAlignment="1">
      <alignment horizontal="center"/>
    </xf>
    <xf numFmtId="172" fontId="24" fillId="0" borderId="0" xfId="113" applyAlignment="1">
      <alignment horizontal="center" wrapText="1"/>
    </xf>
    <xf numFmtId="0" fontId="29"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4" fillId="12" borderId="0" xfId="113" applyFont="1" applyFill="1"/>
    <xf numFmtId="172" fontId="0" fillId="12" borderId="0" xfId="113" applyFont="1" applyFill="1"/>
    <xf numFmtId="173" fontId="46" fillId="12" borderId="0" xfId="32" applyNumberFormat="1" applyFont="1" applyFill="1"/>
    <xf numFmtId="173" fontId="4" fillId="12" borderId="0" xfId="32" applyNumberFormat="1" applyFill="1"/>
    <xf numFmtId="173" fontId="46" fillId="0" borderId="0" xfId="32" applyNumberFormat="1" applyFont="1"/>
    <xf numFmtId="173" fontId="46" fillId="0" borderId="0" xfId="32" applyNumberFormat="1" applyFont="1" applyFill="1"/>
    <xf numFmtId="173" fontId="4" fillId="12" borderId="0" xfId="32" applyNumberFormat="1" applyFont="1" applyFill="1"/>
    <xf numFmtId="173" fontId="46" fillId="0" borderId="54" xfId="32" applyNumberFormat="1" applyFont="1" applyBorder="1"/>
    <xf numFmtId="172" fontId="0" fillId="12" borderId="0" xfId="113" applyFont="1" applyFill="1" applyAlignment="1">
      <alignment horizontal="center" wrapText="1"/>
    </xf>
    <xf numFmtId="172" fontId="50" fillId="0" borderId="0" xfId="113" applyFont="1" applyFill="1"/>
    <xf numFmtId="172" fontId="50" fillId="0" borderId="0" xfId="113" applyFont="1" applyFill="1" applyAlignment="1">
      <alignment horizontal="left"/>
    </xf>
    <xf numFmtId="173" fontId="40" fillId="0" borderId="6" xfId="32" applyNumberFormat="1" applyFont="1" applyBorder="1" applyAlignment="1"/>
    <xf numFmtId="0" fontId="58" fillId="0" borderId="0" xfId="0" applyNumberFormat="1" applyFont="1" applyAlignment="1">
      <alignment horizontal="center"/>
    </xf>
    <xf numFmtId="0" fontId="0" fillId="0" borderId="0" xfId="0" applyNumberFormat="1" applyAlignment="1">
      <alignment horizontal="center"/>
    </xf>
    <xf numFmtId="172" fontId="65" fillId="0" borderId="0" xfId="0" applyFont="1" applyAlignment="1">
      <alignment horizontal="center"/>
    </xf>
    <xf numFmtId="0" fontId="65" fillId="0" borderId="0" xfId="32" applyNumberFormat="1" applyFont="1" applyAlignment="1">
      <alignment horizontal="center"/>
    </xf>
    <xf numFmtId="0" fontId="69" fillId="0" borderId="0" xfId="120" applyFont="1"/>
    <xf numFmtId="0" fontId="69" fillId="0" borderId="0" xfId="32" applyNumberFormat="1" applyFont="1" applyAlignment="1">
      <alignment horizontal="center"/>
    </xf>
    <xf numFmtId="0" fontId="115" fillId="0" borderId="0" xfId="120" applyFont="1" applyFill="1"/>
    <xf numFmtId="0" fontId="69" fillId="12" borderId="0" xfId="120" applyFont="1" applyFill="1"/>
    <xf numFmtId="172" fontId="69" fillId="0" borderId="0" xfId="113" applyFont="1"/>
    <xf numFmtId="1" fontId="69" fillId="0" borderId="0" xfId="113" applyNumberFormat="1" applyFont="1" applyFill="1" applyAlignment="1">
      <alignment horizontal="center"/>
    </xf>
    <xf numFmtId="172" fontId="69" fillId="12" borderId="0" xfId="113" applyFont="1" applyFill="1" applyAlignment="1"/>
    <xf numFmtId="172" fontId="69" fillId="0" borderId="0" xfId="113" applyFont="1" applyFill="1" applyAlignment="1">
      <alignment horizontal="center" wrapText="1"/>
    </xf>
    <xf numFmtId="172" fontId="69" fillId="0" borderId="0" xfId="113" applyFont="1" applyAlignment="1">
      <alignment horizontal="center" wrapText="1"/>
    </xf>
    <xf numFmtId="172" fontId="69" fillId="12" borderId="6" xfId="113" applyFont="1" applyFill="1" applyBorder="1"/>
    <xf numFmtId="172" fontId="69" fillId="0" borderId="6" xfId="113" applyFont="1" applyFill="1" applyBorder="1"/>
    <xf numFmtId="172" fontId="69" fillId="0" borderId="0" xfId="113" applyFont="1" applyFill="1"/>
    <xf numFmtId="43" fontId="69" fillId="0" borderId="0" xfId="32" applyFont="1" applyAlignment="1">
      <alignment wrapText="1"/>
    </xf>
    <xf numFmtId="173" fontId="69" fillId="12" borderId="0" xfId="32" applyNumberFormat="1" applyFont="1" applyFill="1"/>
    <xf numFmtId="173" fontId="117" fillId="12" borderId="0" xfId="32" applyNumberFormat="1" applyFont="1" applyFill="1" applyAlignment="1">
      <alignment horizontal="center" wrapText="1"/>
    </xf>
    <xf numFmtId="173" fontId="69" fillId="12" borderId="0" xfId="32" applyNumberFormat="1" applyFont="1" applyFill="1" applyAlignment="1">
      <alignment horizontal="center" wrapText="1"/>
    </xf>
    <xf numFmtId="173" fontId="69" fillId="0" borderId="0" xfId="32" applyNumberFormat="1" applyFont="1" applyAlignment="1">
      <alignment wrapText="1"/>
    </xf>
    <xf numFmtId="173" fontId="117" fillId="12" borderId="0" xfId="32" applyNumberFormat="1" applyFont="1" applyFill="1" applyAlignment="1">
      <alignment wrapText="1"/>
    </xf>
    <xf numFmtId="173" fontId="69" fillId="12" borderId="0" xfId="32" applyNumberFormat="1" applyFont="1" applyFill="1" applyAlignment="1">
      <alignment wrapText="1"/>
    </xf>
    <xf numFmtId="172" fontId="69" fillId="0" borderId="0" xfId="113" applyFont="1" applyFill="1" applyAlignment="1">
      <alignment wrapText="1"/>
    </xf>
    <xf numFmtId="173" fontId="69" fillId="0" borderId="0" xfId="32" applyNumberFormat="1" applyFont="1"/>
    <xf numFmtId="173" fontId="117" fillId="0" borderId="0" xfId="32" applyNumberFormat="1" applyFont="1" applyFill="1" applyAlignment="1">
      <alignment wrapText="1"/>
    </xf>
    <xf numFmtId="43" fontId="117" fillId="0" borderId="0" xfId="32" applyFont="1" applyFill="1" applyAlignment="1">
      <alignment wrapText="1"/>
    </xf>
    <xf numFmtId="1" fontId="69" fillId="0" borderId="0" xfId="113" applyNumberFormat="1" applyFont="1" applyAlignment="1">
      <alignment horizontal="center"/>
    </xf>
    <xf numFmtId="172" fontId="69" fillId="0" borderId="0" xfId="113" applyFont="1" applyAlignment="1">
      <alignment horizontal="center"/>
    </xf>
    <xf numFmtId="172" fontId="69" fillId="0" borderId="6" xfId="113" applyFont="1" applyBorder="1" applyAlignment="1">
      <alignment horizontal="center" wrapText="1"/>
    </xf>
    <xf numFmtId="0" fontId="4" fillId="0" borderId="0" xfId="55" applyFont="1" applyBorder="1" applyAlignment="1">
      <alignment horizontal="center" wrapText="1"/>
    </xf>
    <xf numFmtId="0" fontId="4" fillId="0" borderId="9" xfId="55" applyFont="1" applyBorder="1" applyAlignment="1">
      <alignment horizontal="center" wrapText="1"/>
    </xf>
    <xf numFmtId="0" fontId="112" fillId="0" borderId="0" xfId="122" applyFont="1" applyAlignment="1">
      <alignment horizontal="center"/>
    </xf>
    <xf numFmtId="173" fontId="112" fillId="0" borderId="0" xfId="123" applyNumberFormat="1" applyFont="1" applyAlignment="1">
      <alignment horizontal="center"/>
    </xf>
    <xf numFmtId="10" fontId="112" fillId="0" borderId="0" xfId="124" applyNumberFormat="1" applyFont="1" applyAlignment="1">
      <alignment horizontal="center"/>
    </xf>
    <xf numFmtId="10" fontId="118" fillId="0" borderId="0" xfId="124" applyNumberFormat="1" applyFont="1" applyAlignment="1">
      <alignment horizontal="center"/>
    </xf>
    <xf numFmtId="173" fontId="118" fillId="0" borderId="0" xfId="123" applyNumberFormat="1" applyFont="1" applyAlignment="1">
      <alignment horizontal="center"/>
    </xf>
    <xf numFmtId="0" fontId="118" fillId="0" borderId="0" xfId="122" applyFont="1" applyAlignment="1">
      <alignment horizontal="center"/>
    </xf>
    <xf numFmtId="49" fontId="112" fillId="0" borderId="0" xfId="123" applyNumberFormat="1" applyFont="1" applyBorder="1" applyAlignment="1">
      <alignment horizontal="center" wrapText="1"/>
    </xf>
    <xf numFmtId="0" fontId="113" fillId="0" borderId="0" xfId="122" applyFont="1" applyAlignment="1">
      <alignment horizontal="center" wrapText="1"/>
    </xf>
    <xf numFmtId="49" fontId="112" fillId="12" borderId="0" xfId="123" applyNumberFormat="1" applyFont="1" applyFill="1" applyBorder="1" applyAlignment="1">
      <alignment horizontal="center" wrapText="1"/>
    </xf>
    <xf numFmtId="0" fontId="113" fillId="0" borderId="55" xfId="122" applyFont="1" applyBorder="1" applyAlignment="1"/>
    <xf numFmtId="173" fontId="113" fillId="0" borderId="55" xfId="123" applyNumberFormat="1" applyFont="1" applyBorder="1"/>
    <xf numFmtId="173" fontId="113" fillId="0" borderId="55" xfId="123" applyNumberFormat="1" applyFont="1" applyBorder="1" applyAlignment="1"/>
    <xf numFmtId="173" fontId="113" fillId="12" borderId="55" xfId="123" applyNumberFormat="1" applyFont="1" applyFill="1" applyBorder="1"/>
    <xf numFmtId="173" fontId="113" fillId="0" borderId="55" xfId="123" applyNumberFormat="1" applyFont="1" applyBorder="1" applyAlignment="1">
      <alignment horizontal="center"/>
    </xf>
    <xf numFmtId="43" fontId="113" fillId="0" borderId="55" xfId="123" applyFont="1" applyBorder="1"/>
    <xf numFmtId="10" fontId="113" fillId="0" borderId="55" xfId="122" applyNumberFormat="1" applyFont="1" applyBorder="1"/>
    <xf numFmtId="43" fontId="113" fillId="0" borderId="55" xfId="122" applyNumberFormat="1" applyFont="1" applyBorder="1"/>
    <xf numFmtId="0" fontId="113" fillId="0" borderId="0" xfId="122" applyFont="1"/>
    <xf numFmtId="0" fontId="113" fillId="0" borderId="56" xfId="122" applyFont="1" applyBorder="1" applyAlignment="1"/>
    <xf numFmtId="173" fontId="113" fillId="0" borderId="56" xfId="123" applyNumberFormat="1" applyFont="1" applyBorder="1"/>
    <xf numFmtId="173" fontId="113" fillId="0" borderId="56" xfId="123" applyNumberFormat="1" applyFont="1" applyBorder="1" applyAlignment="1"/>
    <xf numFmtId="173" fontId="113" fillId="12" borderId="56" xfId="123" applyNumberFormat="1" applyFont="1" applyFill="1" applyBorder="1"/>
    <xf numFmtId="0" fontId="113" fillId="0" borderId="56" xfId="122" applyFont="1" applyBorder="1" applyAlignment="1">
      <alignment horizontal="center"/>
    </xf>
    <xf numFmtId="0" fontId="113" fillId="12" borderId="56" xfId="122" applyFont="1" applyFill="1" applyBorder="1" applyAlignment="1"/>
    <xf numFmtId="43" fontId="113" fillId="0" borderId="56" xfId="123" applyFont="1" applyBorder="1"/>
    <xf numFmtId="10" fontId="113" fillId="0" borderId="56" xfId="122" applyNumberFormat="1" applyFont="1" applyBorder="1"/>
    <xf numFmtId="43" fontId="113" fillId="0" borderId="56" xfId="122" applyNumberFormat="1" applyFont="1" applyBorder="1"/>
    <xf numFmtId="173" fontId="113" fillId="0" borderId="57" xfId="123" applyNumberFormat="1" applyFont="1" applyBorder="1" applyAlignment="1"/>
    <xf numFmtId="173" fontId="113" fillId="0" borderId="57" xfId="123" applyNumberFormat="1" applyFont="1" applyBorder="1"/>
    <xf numFmtId="0" fontId="113" fillId="0" borderId="57" xfId="122" applyFont="1" applyBorder="1" applyAlignment="1"/>
    <xf numFmtId="173" fontId="113" fillId="12" borderId="57" xfId="123" applyNumberFormat="1" applyFont="1" applyFill="1" applyBorder="1"/>
    <xf numFmtId="0" fontId="113" fillId="0" borderId="57" xfId="122" applyFont="1" applyBorder="1" applyAlignment="1">
      <alignment horizontal="center"/>
    </xf>
    <xf numFmtId="0" fontId="113" fillId="12" borderId="57" xfId="122" applyFont="1" applyFill="1" applyBorder="1" applyAlignment="1"/>
    <xf numFmtId="43" fontId="113" fillId="0" borderId="57" xfId="123" applyFont="1" applyBorder="1"/>
    <xf numFmtId="10" fontId="113" fillId="0" borderId="57" xfId="122" applyNumberFormat="1" applyFont="1" applyBorder="1"/>
    <xf numFmtId="43" fontId="113" fillId="0" borderId="57" xfId="122" applyNumberFormat="1" applyFont="1" applyBorder="1"/>
    <xf numFmtId="173" fontId="113" fillId="0" borderId="57" xfId="122" applyNumberFormat="1" applyFont="1" applyBorder="1" applyAlignment="1"/>
    <xf numFmtId="0" fontId="113" fillId="0" borderId="0" xfId="122" applyFont="1" applyAlignment="1"/>
    <xf numFmtId="174" fontId="113" fillId="0" borderId="2" xfId="125" applyNumberFormat="1" applyFont="1" applyBorder="1"/>
    <xf numFmtId="0" fontId="113" fillId="0" borderId="0" xfId="122" applyFont="1" applyAlignment="1">
      <alignment horizontal="left"/>
    </xf>
    <xf numFmtId="174" fontId="113" fillId="0" borderId="2" xfId="125" applyNumberFormat="1" applyFont="1" applyBorder="1" applyAlignment="1"/>
    <xf numFmtId="43" fontId="113" fillId="0" borderId="0" xfId="122" applyNumberFormat="1" applyFont="1" applyBorder="1" applyAlignment="1"/>
    <xf numFmtId="0" fontId="113" fillId="0" borderId="0" xfId="122" applyFont="1" applyAlignment="1">
      <alignment horizontal="right"/>
    </xf>
    <xf numFmtId="173" fontId="113" fillId="0" borderId="0" xfId="123" applyNumberFormat="1" applyFont="1"/>
    <xf numFmtId="0" fontId="113" fillId="0" borderId="0" xfId="122" applyFont="1" applyAlignment="1">
      <alignment horizontal="center"/>
    </xf>
    <xf numFmtId="10" fontId="113" fillId="0" borderId="0" xfId="124" applyNumberFormat="1" applyFont="1"/>
    <xf numFmtId="173" fontId="113" fillId="0" borderId="0" xfId="123" applyNumberFormat="1" applyFont="1" applyAlignment="1"/>
    <xf numFmtId="49" fontId="113" fillId="0" borderId="0" xfId="122" applyNumberFormat="1" applyFont="1" applyAlignment="1"/>
    <xf numFmtId="0" fontId="113" fillId="0" borderId="0" xfId="122" applyFont="1" applyAlignment="1">
      <alignment vertical="top" wrapText="1"/>
    </xf>
    <xf numFmtId="49" fontId="113" fillId="0" borderId="0" xfId="122" applyNumberFormat="1" applyFont="1" applyAlignment="1">
      <alignment horizontal="right" vertical="top" wrapText="1"/>
    </xf>
    <xf numFmtId="0" fontId="113" fillId="0" borderId="0" xfId="122" applyFont="1" applyAlignment="1">
      <alignment horizontal="left" vertical="top" wrapText="1"/>
    </xf>
    <xf numFmtId="49" fontId="113" fillId="0" borderId="0" xfId="122" applyNumberFormat="1" applyFont="1" applyAlignment="1">
      <alignment horizontal="right"/>
    </xf>
    <xf numFmtId="0" fontId="113" fillId="0" borderId="0" xfId="122" applyFont="1" applyAlignment="1">
      <alignment horizontal="left" vertical="top"/>
    </xf>
    <xf numFmtId="49" fontId="112" fillId="0" borderId="0" xfId="122" applyNumberFormat="1" applyFont="1" applyAlignment="1">
      <alignment horizontal="center"/>
    </xf>
    <xf numFmtId="49" fontId="112" fillId="0" borderId="0" xfId="122" applyNumberFormat="1" applyFont="1" applyBorder="1" applyAlignment="1">
      <alignment horizontal="center" wrapText="1"/>
    </xf>
    <xf numFmtId="49" fontId="112" fillId="12" borderId="0" xfId="122" applyNumberFormat="1" applyFont="1" applyFill="1" applyBorder="1" applyAlignment="1">
      <alignment horizontal="center" wrapText="1"/>
    </xf>
    <xf numFmtId="49" fontId="113" fillId="12" borderId="58" xfId="123" applyNumberFormat="1" applyFont="1" applyFill="1" applyBorder="1" applyAlignment="1">
      <alignment horizontal="left"/>
    </xf>
    <xf numFmtId="173" fontId="113" fillId="12" borderId="58" xfId="123" applyNumberFormat="1" applyFont="1" applyFill="1" applyBorder="1"/>
    <xf numFmtId="173" fontId="113" fillId="0" borderId="58" xfId="123" applyNumberFormat="1" applyFont="1" applyBorder="1"/>
    <xf numFmtId="10" fontId="113" fillId="12" borderId="58" xfId="124" applyNumberFormat="1" applyFont="1" applyFill="1" applyBorder="1"/>
    <xf numFmtId="0" fontId="113" fillId="0" borderId="58" xfId="122" applyFont="1" applyBorder="1" applyAlignment="1"/>
    <xf numFmtId="173" fontId="113" fillId="0" borderId="58" xfId="122" applyNumberFormat="1" applyFont="1" applyBorder="1"/>
    <xf numFmtId="49" fontId="113" fillId="12" borderId="56" xfId="123" applyNumberFormat="1" applyFont="1" applyFill="1" applyBorder="1"/>
    <xf numFmtId="10" fontId="113" fillId="12" borderId="56" xfId="124" applyNumberFormat="1" applyFont="1" applyFill="1" applyBorder="1"/>
    <xf numFmtId="49" fontId="113" fillId="0" borderId="0" xfId="122" applyNumberFormat="1" applyFont="1"/>
    <xf numFmtId="173" fontId="113" fillId="0" borderId="0" xfId="123" applyNumberFormat="1" applyFont="1" applyBorder="1" applyAlignment="1"/>
    <xf numFmtId="174" fontId="113" fillId="0" borderId="57" xfId="125" applyNumberFormat="1" applyFont="1" applyBorder="1" applyAlignment="1"/>
    <xf numFmtId="174" fontId="112" fillId="0" borderId="59" xfId="125" applyNumberFormat="1" applyFont="1" applyBorder="1" applyAlignment="1"/>
    <xf numFmtId="49" fontId="113" fillId="0" borderId="0" xfId="123" applyNumberFormat="1" applyFont="1" applyAlignment="1">
      <alignment horizontal="right"/>
    </xf>
    <xf numFmtId="49" fontId="113" fillId="0" borderId="0" xfId="123" applyNumberFormat="1" applyFont="1" applyAlignment="1">
      <alignment vertical="top" wrapText="1"/>
    </xf>
    <xf numFmtId="49" fontId="113" fillId="0" borderId="0" xfId="123" applyNumberFormat="1" applyFont="1" applyAlignment="1">
      <alignment horizontal="left" vertical="top" wrapText="1"/>
    </xf>
    <xf numFmtId="49" fontId="113" fillId="0" borderId="0" xfId="122" applyNumberFormat="1" applyFont="1" applyAlignment="1">
      <alignment vertical="top" wrapText="1"/>
    </xf>
    <xf numFmtId="0" fontId="113" fillId="12" borderId="55" xfId="122" applyFont="1" applyFill="1" applyBorder="1"/>
    <xf numFmtId="0" fontId="113" fillId="12" borderId="56" xfId="122" applyFont="1" applyFill="1" applyBorder="1"/>
    <xf numFmtId="0" fontId="112" fillId="0" borderId="6" xfId="122" applyFont="1" applyBorder="1" applyAlignment="1">
      <alignment horizontal="center" wrapText="1"/>
    </xf>
    <xf numFmtId="10" fontId="113" fillId="12" borderId="55" xfId="124" applyNumberFormat="1" applyFont="1" applyFill="1" applyBorder="1"/>
    <xf numFmtId="10" fontId="113" fillId="12" borderId="57" xfId="124" applyNumberFormat="1" applyFont="1" applyFill="1" applyBorder="1"/>
    <xf numFmtId="10" fontId="113" fillId="12" borderId="57" xfId="122" applyNumberFormat="1" applyFont="1" applyFill="1" applyBorder="1"/>
    <xf numFmtId="0" fontId="113" fillId="12" borderId="55" xfId="122" applyFont="1" applyFill="1" applyBorder="1" applyAlignment="1">
      <alignment horizontal="right"/>
    </xf>
    <xf numFmtId="0" fontId="113" fillId="12" borderId="56" xfId="122" applyFont="1" applyFill="1" applyBorder="1" applyAlignment="1">
      <alignment horizontal="right"/>
    </xf>
    <xf numFmtId="173" fontId="113" fillId="12" borderId="57" xfId="122" applyNumberFormat="1" applyFont="1" applyFill="1" applyBorder="1" applyAlignment="1">
      <alignment horizontal="right"/>
    </xf>
    <xf numFmtId="0" fontId="113" fillId="12" borderId="57" xfId="122" applyFont="1" applyFill="1" applyBorder="1" applyAlignment="1">
      <alignment horizontal="right"/>
    </xf>
    <xf numFmtId="43" fontId="113" fillId="0" borderId="2" xfId="123" applyFont="1" applyBorder="1" applyAlignment="1"/>
    <xf numFmtId="0" fontId="11" fillId="0" borderId="0" xfId="60" applyNumberFormat="1" applyFont="1" applyAlignment="1">
      <alignment horizontal="left" wrapText="1"/>
    </xf>
    <xf numFmtId="172" fontId="73" fillId="13" borderId="0" xfId="0" applyFont="1" applyFill="1" applyBorder="1" applyAlignment="1"/>
    <xf numFmtId="0" fontId="112" fillId="0" borderId="0" xfId="122" applyFont="1" applyBorder="1" applyAlignment="1">
      <alignment horizontal="center" wrapText="1"/>
    </xf>
    <xf numFmtId="173" fontId="113" fillId="0" borderId="58" xfId="123" applyNumberFormat="1" applyFont="1" applyBorder="1" applyAlignment="1"/>
    <xf numFmtId="173" fontId="113" fillId="0" borderId="56" xfId="122" applyNumberFormat="1" applyFont="1" applyBorder="1"/>
    <xf numFmtId="173" fontId="113" fillId="0" borderId="59" xfId="122" applyNumberFormat="1" applyFont="1" applyBorder="1"/>
    <xf numFmtId="43" fontId="113" fillId="0" borderId="0" xfId="123" applyFont="1" applyBorder="1" applyAlignment="1"/>
    <xf numFmtId="174" fontId="113" fillId="0" borderId="0" xfId="125" applyNumberFormat="1" applyFont="1" applyBorder="1" applyAlignment="1"/>
    <xf numFmtId="0" fontId="113" fillId="0" borderId="0" xfId="122" applyFont="1" applyAlignment="1">
      <alignment vertical="top"/>
    </xf>
    <xf numFmtId="49" fontId="113" fillId="0" borderId="0" xfId="122" applyNumberFormat="1" applyFont="1" applyAlignment="1">
      <alignment horizontal="right" vertical="top"/>
    </xf>
    <xf numFmtId="43" fontId="113" fillId="0" borderId="0" xfId="123" applyFont="1"/>
    <xf numFmtId="173" fontId="112" fillId="0" borderId="2" xfId="123" applyNumberFormat="1" applyFont="1" applyBorder="1" applyAlignment="1">
      <alignment horizontal="right"/>
    </xf>
    <xf numFmtId="174" fontId="112" fillId="0" borderId="2" xfId="125" applyNumberFormat="1" applyFont="1" applyBorder="1" applyAlignment="1"/>
    <xf numFmtId="49" fontId="113" fillId="0" borderId="0" xfId="123" applyNumberFormat="1" applyFont="1" applyAlignment="1">
      <alignment horizontal="right" vertical="top" wrapText="1"/>
    </xf>
    <xf numFmtId="9" fontId="113" fillId="13" borderId="58" xfId="124" applyNumberFormat="1" applyFont="1" applyFill="1" applyBorder="1"/>
    <xf numFmtId="9" fontId="113" fillId="13" borderId="56" xfId="124" applyNumberFormat="1" applyFont="1" applyFill="1" applyBorder="1"/>
    <xf numFmtId="0" fontId="113" fillId="13" borderId="56" xfId="122" applyFont="1" applyFill="1" applyBorder="1"/>
    <xf numFmtId="0" fontId="113" fillId="13" borderId="58" xfId="122" applyFont="1" applyFill="1" applyBorder="1"/>
    <xf numFmtId="14" fontId="113" fillId="13" borderId="58" xfId="122" applyNumberFormat="1" applyFont="1" applyFill="1" applyBorder="1"/>
    <xf numFmtId="0" fontId="113" fillId="13" borderId="56" xfId="122" applyFont="1" applyFill="1" applyBorder="1" applyAlignment="1">
      <alignment horizontal="right"/>
    </xf>
    <xf numFmtId="173" fontId="113" fillId="13" borderId="58" xfId="123" applyNumberFormat="1" applyFont="1" applyFill="1" applyBorder="1"/>
    <xf numFmtId="0" fontId="113" fillId="13" borderId="55" xfId="122" applyFont="1" applyFill="1" applyBorder="1"/>
    <xf numFmtId="173" fontId="113" fillId="13" borderId="56" xfId="123" applyNumberFormat="1" applyFont="1" applyFill="1" applyBorder="1"/>
    <xf numFmtId="173" fontId="113" fillId="13" borderId="56" xfId="123" applyNumberFormat="1" applyFont="1" applyFill="1" applyBorder="1" applyAlignment="1"/>
    <xf numFmtId="173" fontId="113" fillId="13" borderId="56" xfId="123" applyNumberFormat="1" applyFont="1" applyFill="1" applyBorder="1" applyAlignment="1">
      <alignment horizontal="center"/>
    </xf>
    <xf numFmtId="49" fontId="112" fillId="13" borderId="6" xfId="122" applyNumberFormat="1" applyFont="1" applyFill="1" applyBorder="1" applyAlignment="1">
      <alignment horizontal="center" wrapText="1"/>
    </xf>
    <xf numFmtId="49" fontId="112" fillId="13" borderId="6" xfId="123" applyNumberFormat="1" applyFont="1" applyFill="1" applyBorder="1" applyAlignment="1">
      <alignment horizontal="center" wrapText="1"/>
    </xf>
    <xf numFmtId="49" fontId="112" fillId="13" borderId="0" xfId="122" applyNumberFormat="1" applyFont="1" applyFill="1" applyBorder="1" applyAlignment="1">
      <alignment horizontal="center" wrapText="1"/>
    </xf>
    <xf numFmtId="49" fontId="112" fillId="13" borderId="0" xfId="123" applyNumberFormat="1" applyFont="1" applyFill="1" applyBorder="1" applyAlignment="1">
      <alignment horizontal="center" wrapText="1"/>
    </xf>
    <xf numFmtId="173" fontId="113" fillId="13" borderId="57" xfId="123" applyNumberFormat="1" applyFont="1" applyFill="1" applyBorder="1"/>
    <xf numFmtId="49" fontId="113" fillId="13" borderId="58" xfId="123" applyNumberFormat="1" applyFont="1" applyFill="1" applyBorder="1" applyAlignment="1">
      <alignment horizontal="left"/>
    </xf>
    <xf numFmtId="49" fontId="113" fillId="13" borderId="56" xfId="123" applyNumberFormat="1" applyFont="1" applyFill="1" applyBorder="1"/>
    <xf numFmtId="172" fontId="57" fillId="0" borderId="4" xfId="0" applyFont="1" applyFill="1" applyBorder="1" applyAlignment="1"/>
    <xf numFmtId="164" fontId="65" fillId="15" borderId="26" xfId="64" applyNumberFormat="1" applyFont="1" applyFill="1" applyBorder="1"/>
    <xf numFmtId="164" fontId="65" fillId="13" borderId="26" xfId="64" applyNumberFormat="1" applyFont="1" applyFill="1" applyBorder="1"/>
    <xf numFmtId="164" fontId="65" fillId="15" borderId="26" xfId="55" applyNumberFormat="1" applyFont="1" applyFill="1" applyBorder="1"/>
    <xf numFmtId="164" fontId="65" fillId="13" borderId="26" xfId="55" applyNumberFormat="1" applyFont="1" applyFill="1" applyBorder="1"/>
    <xf numFmtId="184" fontId="65" fillId="0" borderId="0" xfId="55" applyNumberFormat="1" applyFont="1" applyFill="1" applyBorder="1" applyAlignment="1">
      <alignment horizontal="left"/>
    </xf>
    <xf numFmtId="178" fontId="65" fillId="13" borderId="0" xfId="64" applyNumberFormat="1" applyFont="1" applyFill="1" applyBorder="1" applyAlignment="1">
      <alignment horizontal="right"/>
    </xf>
    <xf numFmtId="43" fontId="61" fillId="0" borderId="0" xfId="32" applyFont="1" applyFill="1"/>
    <xf numFmtId="173" fontId="11" fillId="14" borderId="0" xfId="32" applyNumberFormat="1" applyFont="1" applyFill="1" applyAlignment="1"/>
    <xf numFmtId="172" fontId="121" fillId="0" borderId="0" xfId="0" applyFont="1" applyFill="1"/>
    <xf numFmtId="172" fontId="122" fillId="0" borderId="0" xfId="0" applyFont="1" applyFill="1"/>
    <xf numFmtId="1" fontId="122" fillId="0" borderId="0" xfId="0" applyNumberFormat="1"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65" fillId="0" borderId="0" xfId="0" applyFont="1" applyFill="1" applyAlignment="1" applyProtection="1">
      <alignment horizontal="center"/>
      <protection locked="0"/>
    </xf>
    <xf numFmtId="173" fontId="4" fillId="0" borderId="6" xfId="35" applyNumberFormat="1" applyFont="1" applyFill="1" applyBorder="1" applyAlignment="1"/>
    <xf numFmtId="172" fontId="78" fillId="0" borderId="30" xfId="0" applyFont="1" applyFill="1" applyBorder="1" applyAlignment="1" applyProtection="1">
      <alignment horizontal="center"/>
      <protection locked="0"/>
    </xf>
    <xf numFmtId="172" fontId="78" fillId="0" borderId="7" xfId="0" applyFont="1" applyFill="1" applyBorder="1" applyAlignment="1" applyProtection="1">
      <alignment horizontal="center" wrapText="1"/>
      <protection locked="0"/>
    </xf>
    <xf numFmtId="172" fontId="78" fillId="0" borderId="0" xfId="0" applyFont="1" applyFill="1" applyBorder="1"/>
    <xf numFmtId="172" fontId="78" fillId="0" borderId="31" xfId="0" applyFont="1" applyFill="1" applyBorder="1" applyAlignment="1" applyProtection="1">
      <alignment horizontal="center" wrapText="1"/>
      <protection locked="0"/>
    </xf>
    <xf numFmtId="172" fontId="0" fillId="13" borderId="0" xfId="0" applyFill="1" applyAlignment="1"/>
    <xf numFmtId="185" fontId="53" fillId="6" borderId="0" xfId="32" applyNumberFormat="1" applyFont="1" applyFill="1" applyBorder="1" applyAlignment="1">
      <alignment horizontal="center"/>
    </xf>
    <xf numFmtId="185" fontId="53" fillId="6" borderId="6" xfId="32" applyNumberFormat="1" applyFont="1" applyFill="1" applyBorder="1" applyAlignment="1">
      <alignment horizontal="center"/>
    </xf>
    <xf numFmtId="14" fontId="24" fillId="12" borderId="0" xfId="113" applyNumberFormat="1" applyFont="1" applyFill="1" applyAlignment="1"/>
    <xf numFmtId="0" fontId="68" fillId="13" borderId="30" xfId="61" applyFont="1" applyFill="1" applyBorder="1"/>
    <xf numFmtId="164" fontId="125" fillId="13" borderId="26" xfId="64" applyNumberFormat="1" applyFont="1" applyFill="1" applyBorder="1"/>
    <xf numFmtId="164" fontId="125" fillId="13" borderId="26" xfId="55" applyNumberFormat="1" applyFont="1" applyFill="1" applyBorder="1"/>
    <xf numFmtId="41" fontId="48" fillId="13" borderId="7" xfId="53" applyNumberFormat="1" applyFont="1" applyFill="1" applyBorder="1"/>
    <xf numFmtId="41" fontId="48" fillId="13" borderId="7" xfId="33" applyFont="1" applyFill="1" applyBorder="1"/>
    <xf numFmtId="0" fontId="126" fillId="0" borderId="0" xfId="55" applyFont="1" applyBorder="1"/>
    <xf numFmtId="0" fontId="65" fillId="13" borderId="0" xfId="0" applyNumberFormat="1" applyFont="1" applyFill="1" applyBorder="1" applyAlignment="1">
      <alignment wrapText="1"/>
    </xf>
    <xf numFmtId="178" fontId="48" fillId="6" borderId="0" xfId="64" applyNumberFormat="1" applyFont="1" applyFill="1" applyProtection="1">
      <protection locked="0"/>
    </xf>
    <xf numFmtId="44" fontId="24" fillId="0" borderId="0" xfId="60" applyNumberFormat="1" applyAlignment="1"/>
    <xf numFmtId="0" fontId="78" fillId="0" borderId="0" xfId="126" applyFont="1"/>
    <xf numFmtId="173" fontId="78" fillId="0" borderId="0" xfId="126" applyNumberFormat="1" applyFont="1"/>
    <xf numFmtId="0" fontId="78" fillId="0" borderId="0" xfId="126" applyFont="1" applyAlignment="1">
      <alignment horizontal="center"/>
    </xf>
    <xf numFmtId="172" fontId="78" fillId="0" borderId="0" xfId="0" applyFont="1" applyAlignment="1">
      <alignment horizontal="center"/>
    </xf>
    <xf numFmtId="0" fontId="78" fillId="0" borderId="4" xfId="126" applyFont="1" applyBorder="1" applyAlignment="1">
      <alignment horizontal="center"/>
    </xf>
    <xf numFmtId="3" fontId="65" fillId="0" borderId="4" xfId="0" applyNumberFormat="1" applyFont="1" applyBorder="1" applyAlignment="1">
      <alignment horizontal="center"/>
    </xf>
    <xf numFmtId="173" fontId="65" fillId="0" borderId="4" xfId="0" applyNumberFormat="1" applyFont="1" applyBorder="1" applyAlignment="1">
      <alignment horizontal="center"/>
    </xf>
    <xf numFmtId="173" fontId="78" fillId="0" borderId="0" xfId="0" applyNumberFormat="1" applyFont="1" applyAlignment="1">
      <alignment horizontal="center"/>
    </xf>
    <xf numFmtId="172" fontId="78" fillId="0" borderId="7" xfId="0" applyFont="1" applyBorder="1"/>
    <xf numFmtId="0" fontId="65" fillId="0" borderId="0" xfId="126" applyFont="1" applyAlignment="1">
      <alignment horizontal="center"/>
    </xf>
    <xf numFmtId="172" fontId="65" fillId="13" borderId="0" xfId="0" applyFont="1" applyFill="1"/>
    <xf numFmtId="0" fontId="127" fillId="0" borderId="0" xfId="126" applyFont="1" applyAlignment="1">
      <alignment horizontal="center"/>
    </xf>
    <xf numFmtId="0" fontId="65" fillId="0" borderId="0" xfId="126" applyFont="1" applyAlignment="1">
      <alignment horizontal="center" vertical="top"/>
    </xf>
    <xf numFmtId="172" fontId="128" fillId="0" borderId="7" xfId="0" applyFont="1" applyBorder="1"/>
    <xf numFmtId="173" fontId="128" fillId="0" borderId="7" xfId="0" applyNumberFormat="1" applyFont="1" applyBorder="1" applyAlignment="1">
      <alignment horizontal="center" wrapText="1"/>
    </xf>
    <xf numFmtId="172" fontId="128" fillId="0" borderId="7" xfId="0" applyFont="1" applyBorder="1" applyAlignment="1">
      <alignment horizontal="center" wrapText="1"/>
    </xf>
    <xf numFmtId="172" fontId="129" fillId="0" borderId="0" xfId="0" applyFont="1"/>
    <xf numFmtId="173" fontId="129" fillId="0" borderId="0" xfId="0" applyNumberFormat="1" applyFont="1" applyAlignment="1">
      <alignment horizontal="center"/>
    </xf>
    <xf numFmtId="172" fontId="129" fillId="0" borderId="0" xfId="0" applyFont="1" applyAlignment="1">
      <alignment horizontal="center"/>
    </xf>
    <xf numFmtId="173" fontId="129" fillId="0" borderId="0" xfId="0" applyNumberFormat="1" applyFont="1"/>
    <xf numFmtId="3" fontId="128" fillId="0" borderId="0" xfId="0" applyNumberFormat="1" applyFont="1"/>
    <xf numFmtId="173" fontId="128" fillId="0" borderId="54" xfId="32" applyNumberFormat="1" applyFont="1" applyBorder="1"/>
    <xf numFmtId="172" fontId="129" fillId="0" borderId="0" xfId="0" applyFont="1" applyAlignment="1">
      <alignment horizontal="left"/>
    </xf>
    <xf numFmtId="172" fontId="130" fillId="0" borderId="0" xfId="0" applyFont="1" applyAlignment="1">
      <alignment horizontal="right" indent="1"/>
    </xf>
    <xf numFmtId="173" fontId="129" fillId="0" borderId="0" xfId="127" applyNumberFormat="1" applyFont="1" applyFill="1"/>
    <xf numFmtId="172" fontId="134" fillId="0" borderId="0" xfId="0" applyFont="1"/>
    <xf numFmtId="172" fontId="134" fillId="0" borderId="0" xfId="0" applyFont="1" applyAlignment="1"/>
    <xf numFmtId="173" fontId="134" fillId="0" borderId="0" xfId="0" applyNumberFormat="1" applyFont="1"/>
    <xf numFmtId="173" fontId="129" fillId="0" borderId="0" xfId="127" applyNumberFormat="1" applyFont="1" applyFill="1" applyBorder="1" applyAlignment="1">
      <alignment vertical="center" wrapText="1"/>
    </xf>
    <xf numFmtId="173" fontId="129" fillId="0" borderId="2" xfId="127" applyNumberFormat="1" applyFont="1" applyFill="1" applyBorder="1" applyAlignment="1">
      <alignment vertical="center" wrapText="1"/>
    </xf>
    <xf numFmtId="172" fontId="129" fillId="0" borderId="0" xfId="0" applyFont="1" applyAlignment="1">
      <alignment horizontal="right" indent="1"/>
    </xf>
    <xf numFmtId="0" fontId="135" fillId="13" borderId="0" xfId="0" applyNumberFormat="1" applyFont="1" applyFill="1"/>
    <xf numFmtId="173" fontId="135" fillId="13" borderId="0" xfId="32" applyNumberFormat="1" applyFont="1" applyFill="1" applyAlignment="1"/>
    <xf numFmtId="173" fontId="135" fillId="13" borderId="0" xfId="127" applyNumberFormat="1" applyFont="1" applyFill="1" applyBorder="1" applyAlignment="1">
      <alignment horizontal="center"/>
    </xf>
    <xf numFmtId="173" fontId="135" fillId="13" borderId="0" xfId="127" applyNumberFormat="1" applyFont="1" applyFill="1" applyAlignment="1"/>
    <xf numFmtId="3" fontId="135" fillId="13" borderId="0" xfId="0" applyNumberFormat="1" applyFont="1" applyFill="1"/>
    <xf numFmtId="172" fontId="135" fillId="0" borderId="0" xfId="0" applyFont="1"/>
    <xf numFmtId="173" fontId="135" fillId="0" borderId="0" xfId="32" applyNumberFormat="1" applyFont="1"/>
    <xf numFmtId="172" fontId="135" fillId="0" borderId="0" xfId="0" applyFont="1" applyAlignment="1">
      <alignment horizontal="center"/>
    </xf>
    <xf numFmtId="173" fontId="135" fillId="0" borderId="2" xfId="32" applyNumberFormat="1" applyFont="1" applyBorder="1"/>
    <xf numFmtId="173" fontId="135" fillId="13" borderId="0" xfId="0" applyNumberFormat="1" applyFont="1" applyFill="1"/>
    <xf numFmtId="173" fontId="135" fillId="13" borderId="0" xfId="32" applyNumberFormat="1" applyFont="1" applyFill="1"/>
    <xf numFmtId="172" fontId="135" fillId="13" borderId="0" xfId="0" applyFont="1" applyFill="1" applyAlignment="1">
      <alignment horizontal="center"/>
    </xf>
    <xf numFmtId="173" fontId="135" fillId="0" borderId="0" xfId="0" applyNumberFormat="1" applyFont="1"/>
    <xf numFmtId="173" fontId="135" fillId="0" borderId="0" xfId="32" applyNumberFormat="1" applyFont="1" applyBorder="1"/>
    <xf numFmtId="173" fontId="135" fillId="13" borderId="6" xfId="127" applyNumberFormat="1" applyFont="1" applyFill="1" applyBorder="1" applyAlignment="1">
      <alignment horizontal="center"/>
    </xf>
    <xf numFmtId="173" fontId="135" fillId="0" borderId="2" xfId="127" applyNumberFormat="1" applyFont="1" applyFill="1" applyBorder="1" applyAlignment="1"/>
    <xf numFmtId="173" fontId="136" fillId="0" borderId="0" xfId="127" applyNumberFormat="1" applyFont="1" applyFill="1" applyBorder="1" applyAlignment="1">
      <alignment horizontal="center"/>
    </xf>
    <xf numFmtId="0" fontId="137" fillId="0" borderId="0" xfId="60" applyFont="1" applyAlignment="1">
      <alignment horizontal="center" vertical="top"/>
    </xf>
    <xf numFmtId="0" fontId="137" fillId="0" borderId="0" xfId="60" applyFont="1" applyAlignment="1"/>
    <xf numFmtId="173" fontId="139" fillId="0" borderId="6" xfId="32" applyNumberFormat="1" applyFont="1" applyBorder="1" applyAlignment="1"/>
    <xf numFmtId="3" fontId="139" fillId="0" borderId="6" xfId="60" applyNumberFormat="1" applyFont="1" applyBorder="1" applyAlignment="1"/>
    <xf numFmtId="0" fontId="140" fillId="0" borderId="6" xfId="60" applyFont="1" applyBorder="1" applyAlignment="1"/>
    <xf numFmtId="166" fontId="139" fillId="0" borderId="6" xfId="60" applyNumberFormat="1" applyFont="1" applyBorder="1" applyAlignment="1"/>
    <xf numFmtId="173" fontId="139" fillId="0" borderId="0" xfId="32" applyNumberFormat="1" applyFont="1" applyFill="1" applyAlignment="1">
      <alignment horizontal="right"/>
    </xf>
    <xf numFmtId="0" fontId="126" fillId="0" borderId="0" xfId="53" applyFont="1" applyFill="1"/>
    <xf numFmtId="0" fontId="141" fillId="0" borderId="0" xfId="53" applyFont="1" applyFill="1"/>
    <xf numFmtId="0" fontId="142" fillId="0" borderId="0" xfId="53" applyFont="1" applyFill="1"/>
    <xf numFmtId="173" fontId="141" fillId="0" borderId="0" xfId="32" applyNumberFormat="1" applyFont="1" applyFill="1"/>
    <xf numFmtId="37" fontId="141" fillId="0" borderId="0" xfId="53" applyNumberFormat="1" applyFont="1" applyFill="1" applyAlignment="1">
      <alignment horizontal="left"/>
    </xf>
    <xf numFmtId="173" fontId="65" fillId="0" borderId="0" xfId="127" applyNumberFormat="1" applyFont="1" applyFill="1"/>
    <xf numFmtId="172" fontId="65" fillId="0" borderId="42" xfId="0" applyFont="1" applyBorder="1" applyAlignment="1">
      <alignment horizontal="center" vertical="center" wrapText="1"/>
    </xf>
    <xf numFmtId="172" fontId="65" fillId="0" borderId="0" xfId="0" applyFont="1" applyAlignment="1">
      <alignment horizontal="center" vertical="center" wrapText="1"/>
    </xf>
    <xf numFmtId="172" fontId="24" fillId="0" borderId="0" xfId="0" applyFont="1"/>
    <xf numFmtId="15" fontId="24" fillId="0" borderId="0" xfId="0" applyNumberFormat="1" applyFont="1"/>
    <xf numFmtId="173" fontId="24" fillId="0" borderId="0" xfId="0" applyNumberFormat="1" applyFont="1"/>
    <xf numFmtId="173" fontId="65" fillId="0" borderId="0" xfId="127" applyNumberFormat="1" applyFont="1" applyFill="1" applyBorder="1" applyAlignment="1">
      <alignment vertical="center" wrapText="1"/>
    </xf>
    <xf numFmtId="15" fontId="65" fillId="0" borderId="0" xfId="0" applyNumberFormat="1" applyFont="1" applyAlignment="1">
      <alignment vertical="center" wrapText="1"/>
    </xf>
    <xf numFmtId="173" fontId="65" fillId="0" borderId="0" xfId="127" applyNumberFormat="1" applyFont="1" applyFill="1" applyBorder="1" applyAlignment="1">
      <alignment horizontal="right" vertical="center" wrapText="1"/>
    </xf>
    <xf numFmtId="10" fontId="65" fillId="0" borderId="0" xfId="64" applyNumberFormat="1" applyFont="1" applyFill="1"/>
    <xf numFmtId="173" fontId="143" fillId="0" borderId="0" xfId="127" applyNumberFormat="1" applyFont="1" applyFill="1" applyBorder="1" applyAlignment="1">
      <alignment horizontal="right" vertical="center" wrapText="1"/>
    </xf>
    <xf numFmtId="173" fontId="65" fillId="13" borderId="0" xfId="127" applyNumberFormat="1" applyFont="1" applyFill="1" applyBorder="1" applyAlignment="1">
      <alignment vertical="center" wrapText="1"/>
    </xf>
    <xf numFmtId="173" fontId="65" fillId="0" borderId="6" xfId="127" applyNumberFormat="1" applyFont="1" applyFill="1" applyBorder="1" applyAlignment="1">
      <alignment vertical="center" wrapText="1"/>
    </xf>
    <xf numFmtId="172" fontId="65" fillId="0" borderId="2" xfId="0" applyFont="1" applyBorder="1" applyAlignment="1">
      <alignment vertical="center" wrapText="1"/>
    </xf>
    <xf numFmtId="173" fontId="65" fillId="0" borderId="2" xfId="0" applyNumberFormat="1" applyFont="1" applyBorder="1" applyAlignment="1">
      <alignment vertical="center" wrapText="1"/>
    </xf>
    <xf numFmtId="172" fontId="65" fillId="0" borderId="2" xfId="0" applyFont="1" applyBorder="1" applyAlignment="1">
      <alignment horizontal="right" vertical="center" wrapText="1"/>
    </xf>
    <xf numFmtId="173" fontId="65" fillId="0" borderId="2" xfId="127" applyNumberFormat="1" applyFont="1" applyFill="1" applyBorder="1" applyAlignment="1">
      <alignment vertical="center" wrapText="1"/>
    </xf>
    <xf numFmtId="172" fontId="65" fillId="0" borderId="0" xfId="0" applyFont="1" applyAlignment="1">
      <alignment horizontal="right" vertical="center" wrapText="1"/>
    </xf>
    <xf numFmtId="173" fontId="65" fillId="0" borderId="2" xfId="0" applyNumberFormat="1" applyFont="1" applyBorder="1" applyAlignment="1">
      <alignment vertical="center"/>
    </xf>
    <xf numFmtId="172" fontId="0" fillId="0" borderId="0" xfId="0" applyFont="1"/>
    <xf numFmtId="173" fontId="0" fillId="0" borderId="0" xfId="0" applyNumberFormat="1" applyFont="1"/>
    <xf numFmtId="172" fontId="78" fillId="0" borderId="0" xfId="0" applyFont="1"/>
    <xf numFmtId="172" fontId="78" fillId="0" borderId="0" xfId="0" applyFont="1" applyAlignment="1">
      <alignment horizontal="center" vertical="center" wrapText="1"/>
    </xf>
    <xf numFmtId="172" fontId="78" fillId="0" borderId="0" xfId="0" applyFont="1" applyAlignment="1">
      <alignment vertical="center"/>
    </xf>
    <xf numFmtId="172" fontId="78" fillId="0" borderId="32" xfId="0" applyFont="1" applyBorder="1" applyAlignment="1">
      <alignment horizontal="center" vertical="center"/>
    </xf>
    <xf numFmtId="172" fontId="78" fillId="0" borderId="0" xfId="0" applyFont="1" applyAlignment="1">
      <alignment horizontal="center" vertical="center"/>
    </xf>
    <xf numFmtId="173" fontId="65" fillId="0" borderId="0" xfId="127" applyNumberFormat="1" applyFont="1" applyFill="1" applyBorder="1" applyAlignment="1">
      <alignment horizontal="center" vertical="center" wrapText="1"/>
    </xf>
    <xf numFmtId="173" fontId="65" fillId="0" borderId="2" xfId="0" applyNumberFormat="1" applyFont="1" applyBorder="1"/>
    <xf numFmtId="172" fontId="24" fillId="0" borderId="0" xfId="0" applyFont="1" applyAlignment="1"/>
    <xf numFmtId="172" fontId="65" fillId="0" borderId="0" xfId="0" applyFont="1" applyAlignment="1">
      <alignment horizontal="right" indent="1"/>
    </xf>
    <xf numFmtId="173" fontId="65" fillId="0" borderId="54" xfId="127" applyNumberFormat="1" applyFont="1" applyFill="1" applyBorder="1" applyAlignment="1">
      <alignment vertical="center" wrapText="1"/>
    </xf>
    <xf numFmtId="172" fontId="24" fillId="13" borderId="0" xfId="0" applyFont="1" applyFill="1" applyAlignment="1"/>
    <xf numFmtId="173" fontId="129" fillId="13" borderId="0" xfId="127" applyNumberFormat="1" applyFont="1" applyFill="1" applyBorder="1" applyAlignment="1">
      <alignment vertical="center" wrapText="1"/>
    </xf>
    <xf numFmtId="173" fontId="78" fillId="17" borderId="7" xfId="55" applyNumberFormat="1" applyFont="1" applyFill="1" applyBorder="1" applyAlignment="1">
      <alignment horizontal="center" wrapText="1"/>
    </xf>
    <xf numFmtId="0" fontId="78" fillId="0" borderId="0" xfId="126" applyFont="1" applyAlignment="1">
      <alignment horizontal="center"/>
    </xf>
    <xf numFmtId="0" fontId="78" fillId="0" borderId="4" xfId="126" applyFont="1" applyBorder="1" applyAlignment="1">
      <alignment horizontal="center"/>
    </xf>
    <xf numFmtId="0" fontId="65" fillId="0" borderId="0" xfId="126" applyFont="1" applyAlignment="1">
      <alignment horizontal="center"/>
    </xf>
    <xf numFmtId="0" fontId="127" fillId="0" borderId="0" xfId="126" applyFont="1" applyAlignment="1">
      <alignment horizontal="center"/>
    </xf>
    <xf numFmtId="0" fontId="78" fillId="0" borderId="0" xfId="126" applyFont="1"/>
    <xf numFmtId="0" fontId="65" fillId="0" borderId="0" xfId="126" applyFont="1" applyAlignment="1">
      <alignment horizontal="center" vertical="top"/>
    </xf>
    <xf numFmtId="0" fontId="67" fillId="17" borderId="7" xfId="55" applyFont="1" applyFill="1" applyBorder="1" applyAlignment="1">
      <alignment horizontal="center" wrapText="1"/>
    </xf>
    <xf numFmtId="0" fontId="1" fillId="0" borderId="0" xfId="131"/>
    <xf numFmtId="0" fontId="38" fillId="13" borderId="0" xfId="129" applyNumberFormat="1" applyFont="1" applyFill="1"/>
    <xf numFmtId="173" fontId="65" fillId="13" borderId="0" xfId="35" applyNumberFormat="1" applyFont="1" applyFill="1" applyAlignment="1"/>
    <xf numFmtId="172" fontId="65" fillId="0" borderId="0" xfId="130" applyFont="1"/>
    <xf numFmtId="0" fontId="78" fillId="0" borderId="0" xfId="126" applyFont="1"/>
    <xf numFmtId="172" fontId="65" fillId="0" borderId="0" xfId="130" applyFont="1" applyAlignment="1">
      <alignment horizontal="center"/>
    </xf>
    <xf numFmtId="173" fontId="65" fillId="13" borderId="0" xfId="127" applyNumberFormat="1" applyFont="1" applyFill="1" applyAlignment="1"/>
    <xf numFmtId="173" fontId="65" fillId="0" borderId="2" xfId="127" applyNumberFormat="1" applyFont="1" applyFill="1" applyBorder="1" applyAlignment="1"/>
    <xf numFmtId="186" fontId="78" fillId="13" borderId="0" xfId="55" applyNumberFormat="1" applyFont="1" applyFill="1" applyAlignment="1">
      <alignment horizontal="center"/>
    </xf>
    <xf numFmtId="3" fontId="65" fillId="0" borderId="4" xfId="130" applyNumberFormat="1" applyFont="1" applyFill="1" applyBorder="1" applyAlignment="1">
      <alignment horizontal="center"/>
    </xf>
    <xf numFmtId="172" fontId="65" fillId="0" borderId="0" xfId="130" applyFont="1" applyFill="1"/>
    <xf numFmtId="183" fontId="65" fillId="13" borderId="0" xfId="35" applyNumberFormat="1" applyFont="1" applyFill="1" applyAlignment="1"/>
    <xf numFmtId="183" fontId="65" fillId="0" borderId="0" xfId="130" applyNumberFormat="1" applyFont="1" applyFill="1"/>
    <xf numFmtId="173" fontId="65" fillId="0" borderId="2" xfId="35" applyNumberFormat="1" applyFont="1" applyFill="1" applyBorder="1"/>
    <xf numFmtId="173" fontId="65" fillId="0" borderId="0" xfId="130" applyNumberFormat="1" applyFont="1" applyFill="1"/>
    <xf numFmtId="173" fontId="78" fillId="0" borderId="54" xfId="35" applyNumberFormat="1" applyFont="1" applyFill="1" applyBorder="1"/>
    <xf numFmtId="43" fontId="65" fillId="0" borderId="0" xfId="123" applyFont="1" applyFill="1"/>
    <xf numFmtId="0" fontId="78" fillId="13" borderId="0" xfId="55" quotePrefix="1" applyNumberFormat="1" applyFont="1" applyFill="1" applyAlignment="1">
      <alignment horizontal="center"/>
    </xf>
    <xf numFmtId="187" fontId="24" fillId="0" borderId="0" xfId="0" applyNumberFormat="1" applyFont="1" applyAlignment="1"/>
    <xf numFmtId="173" fontId="4" fillId="6" borderId="0" xfId="32" applyNumberFormat="1" applyFont="1" applyFill="1" applyBorder="1" applyAlignment="1">
      <alignment horizontal="right"/>
    </xf>
    <xf numFmtId="3" fontId="4" fillId="0" borderId="0" xfId="60" applyNumberFormat="1" applyFont="1"/>
    <xf numFmtId="173" fontId="106" fillId="6" borderId="48" xfId="32" applyNumberFormat="1" applyFont="1" applyFill="1" applyBorder="1"/>
    <xf numFmtId="173" fontId="2" fillId="12" borderId="55" xfId="123" applyNumberFormat="1" applyFont="1" applyFill="1" applyBorder="1"/>
    <xf numFmtId="173" fontId="2" fillId="12" borderId="56" xfId="123" applyNumberFormat="1" applyFont="1" applyFill="1" applyBorder="1"/>
    <xf numFmtId="173" fontId="2" fillId="12" borderId="55" xfId="123" applyNumberFormat="1" applyFont="1" applyFill="1" applyBorder="1" applyAlignment="1"/>
    <xf numFmtId="173" fontId="2" fillId="12" borderId="56" xfId="32" applyNumberFormat="1" applyFont="1" applyFill="1" applyBorder="1" applyAlignment="1"/>
    <xf numFmtId="0" fontId="2" fillId="12" borderId="55" xfId="122" applyFont="1" applyFill="1" applyBorder="1" applyAlignment="1">
      <alignment horizontal="right"/>
    </xf>
    <xf numFmtId="0" fontId="2" fillId="12" borderId="56" xfId="122" applyFont="1" applyFill="1" applyBorder="1" applyAlignment="1">
      <alignment horizontal="right"/>
    </xf>
    <xf numFmtId="14" fontId="24" fillId="12" borderId="0" xfId="113" applyNumberFormat="1" applyFill="1"/>
    <xf numFmtId="173" fontId="40" fillId="0" borderId="4" xfId="32" applyNumberFormat="1" applyFont="1" applyFill="1" applyBorder="1" applyAlignment="1">
      <alignment horizontal="center"/>
    </xf>
    <xf numFmtId="173" fontId="40" fillId="0" borderId="0" xfId="32" applyNumberFormat="1" applyFont="1" applyFill="1" applyAlignment="1">
      <alignment horizontal="center"/>
    </xf>
    <xf numFmtId="0" fontId="24" fillId="0" borderId="0" xfId="60" applyNumberFormat="1" applyFont="1" applyFill="1" applyAlignment="1" applyProtection="1">
      <alignment horizontal="center"/>
      <protection locked="0"/>
    </xf>
    <xf numFmtId="172" fontId="78" fillId="0" borderId="7" xfId="0" applyFont="1" applyBorder="1" applyAlignment="1">
      <alignment wrapText="1"/>
    </xf>
    <xf numFmtId="172" fontId="144" fillId="0" borderId="0" xfId="0" applyFont="1"/>
    <xf numFmtId="0" fontId="29" fillId="0" borderId="27" xfId="32" applyNumberFormat="1" applyFont="1" applyBorder="1" applyAlignment="1">
      <alignment horizontal="center" wrapText="1"/>
    </xf>
    <xf numFmtId="0" fontId="68" fillId="0" borderId="0" xfId="60" applyFont="1" applyFill="1" applyAlignment="1">
      <alignment horizontal="left" wrapText="1"/>
    </xf>
    <xf numFmtId="0" fontId="0" fillId="0" borderId="0" xfId="60" applyFont="1" applyFill="1" applyAlignment="1">
      <alignment horizontal="left" wrapText="1"/>
    </xf>
    <xf numFmtId="172" fontId="138" fillId="0" borderId="0" xfId="0" applyFont="1" applyFill="1" applyAlignment="1">
      <alignment vertical="top" wrapText="1"/>
    </xf>
    <xf numFmtId="172" fontId="68" fillId="0" borderId="0" xfId="0" applyFont="1" applyFill="1" applyAlignment="1">
      <alignment vertical="top" wrapText="1"/>
    </xf>
    <xf numFmtId="172" fontId="68" fillId="0" borderId="0" xfId="0" applyFont="1" applyAlignment="1">
      <alignment horizontal="left" vertical="center" wrapText="1"/>
    </xf>
    <xf numFmtId="172" fontId="40" fillId="0" borderId="0" xfId="0" applyFont="1" applyFill="1" applyAlignment="1">
      <alignment horizontal="left" wrapText="1"/>
    </xf>
    <xf numFmtId="0" fontId="62" fillId="0" borderId="0" xfId="55" applyFont="1" applyAlignment="1">
      <alignment horizontal="center"/>
    </xf>
    <xf numFmtId="0" fontId="48" fillId="0" borderId="0" xfId="55" applyFont="1" applyFill="1" applyAlignment="1">
      <alignment horizontal="left" vertical="top" wrapText="1"/>
    </xf>
    <xf numFmtId="0" fontId="52" fillId="7" borderId="0" xfId="55" applyFont="1" applyFill="1" applyBorder="1" applyAlignment="1">
      <alignment horizontal="center" wrapText="1"/>
    </xf>
    <xf numFmtId="0" fontId="4" fillId="0" borderId="0" xfId="55" applyFont="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4" xfId="55" applyFont="1" applyFill="1" applyBorder="1" applyAlignment="1">
      <alignment horizontal="center"/>
    </xf>
    <xf numFmtId="0" fontId="3" fillId="0" borderId="0" xfId="55" applyFont="1" applyAlignment="1">
      <alignment horizontal="center"/>
    </xf>
    <xf numFmtId="0" fontId="70" fillId="7" borderId="15" xfId="55" applyFont="1" applyFill="1" applyBorder="1" applyAlignment="1">
      <alignment horizontal="center" wrapText="1"/>
    </xf>
    <xf numFmtId="0" fontId="48" fillId="0" borderId="15" xfId="55" applyFont="1" applyBorder="1" applyAlignment="1">
      <alignment horizontal="center" wrapText="1"/>
    </xf>
    <xf numFmtId="0" fontId="48" fillId="0" borderId="14" xfId="55" applyFont="1" applyBorder="1" applyAlignment="1">
      <alignment horizontal="center" wrapText="1"/>
    </xf>
    <xf numFmtId="0" fontId="70" fillId="7" borderId="16" xfId="55" applyFont="1" applyFill="1" applyBorder="1" applyAlignment="1">
      <alignment horizontal="center"/>
    </xf>
    <xf numFmtId="0" fontId="70" fillId="7" borderId="15" xfId="55" applyFont="1" applyFill="1" applyBorder="1" applyAlignment="1">
      <alignment horizontal="center"/>
    </xf>
    <xf numFmtId="0" fontId="29" fillId="0" borderId="0" xfId="55" applyFont="1" applyFill="1" applyBorder="1" applyAlignment="1">
      <alignment horizontal="center" wrapText="1"/>
    </xf>
    <xf numFmtId="0" fontId="4" fillId="0" borderId="0" xfId="55" applyFont="1" applyFill="1" applyBorder="1" applyAlignment="1">
      <alignment horizontal="center" wrapText="1"/>
    </xf>
    <xf numFmtId="0" fontId="4" fillId="0" borderId="9" xfId="55" applyFont="1" applyFill="1" applyBorder="1" applyAlignment="1">
      <alignment horizontal="center" wrapText="1"/>
    </xf>
    <xf numFmtId="173" fontId="46" fillId="0" borderId="0" xfId="55" applyNumberFormat="1" applyFont="1" applyFill="1" applyBorder="1" applyAlignment="1">
      <alignment horizontal="left" wrapText="1"/>
    </xf>
    <xf numFmtId="173" fontId="46" fillId="0" borderId="9" xfId="55" applyNumberFormat="1" applyFont="1" applyFill="1" applyBorder="1" applyAlignment="1">
      <alignment horizontal="left" wrapText="1"/>
    </xf>
    <xf numFmtId="0" fontId="29" fillId="0" borderId="16" xfId="55" applyFont="1" applyFill="1" applyBorder="1" applyAlignment="1">
      <alignment horizontal="center"/>
    </xf>
    <xf numFmtId="0" fontId="29" fillId="0" borderId="15" xfId="55" applyFont="1" applyFill="1" applyBorder="1" applyAlignment="1">
      <alignment horizontal="center"/>
    </xf>
    <xf numFmtId="0" fontId="29" fillId="0" borderId="14" xfId="55" applyFont="1" applyFill="1" applyBorder="1" applyAlignment="1">
      <alignment horizontal="center"/>
    </xf>
    <xf numFmtId="0" fontId="29" fillId="0" borderId="15" xfId="55" applyFont="1" applyFill="1" applyBorder="1" applyAlignment="1">
      <alignment horizontal="center" wrapText="1"/>
    </xf>
    <xf numFmtId="0" fontId="29" fillId="0" borderId="14" xfId="55" applyFont="1" applyFill="1" applyBorder="1" applyAlignment="1">
      <alignment horizontal="center" wrapText="1"/>
    </xf>
    <xf numFmtId="173" fontId="56" fillId="0" borderId="4" xfId="55" applyNumberFormat="1" applyFont="1" applyFill="1" applyBorder="1" applyAlignment="1">
      <alignment horizontal="center" wrapText="1"/>
    </xf>
    <xf numFmtId="173" fontId="56" fillId="0" borderId="12" xfId="55" applyNumberFormat="1" applyFont="1" applyFill="1" applyBorder="1" applyAlignment="1">
      <alignment horizontal="center" wrapText="1"/>
    </xf>
    <xf numFmtId="0" fontId="51" fillId="7" borderId="16" xfId="55" applyFont="1" applyFill="1" applyBorder="1" applyAlignment="1">
      <alignment horizontal="center"/>
    </xf>
    <xf numFmtId="0" fontId="51" fillId="7" borderId="15" xfId="55" applyFont="1" applyFill="1" applyBorder="1" applyAlignment="1">
      <alignment horizontal="center"/>
    </xf>
    <xf numFmtId="0" fontId="51" fillId="7" borderId="15" xfId="55" applyFont="1" applyFill="1" applyBorder="1" applyAlignment="1">
      <alignment horizontal="center" wrapText="1"/>
    </xf>
    <xf numFmtId="0" fontId="52" fillId="7" borderId="15" xfId="55" applyFont="1" applyFill="1" applyBorder="1" applyAlignment="1">
      <alignment horizontal="center" wrapText="1"/>
    </xf>
    <xf numFmtId="0" fontId="52" fillId="7" borderId="14" xfId="55" applyFont="1" applyFill="1" applyBorder="1" applyAlignment="1">
      <alignment horizontal="center" wrapText="1"/>
    </xf>
    <xf numFmtId="0" fontId="51" fillId="0" borderId="16" xfId="55" applyFont="1" applyFill="1" applyBorder="1" applyAlignment="1">
      <alignment horizontal="center"/>
    </xf>
    <xf numFmtId="0" fontId="51" fillId="0" borderId="15" xfId="55" applyFont="1" applyFill="1" applyBorder="1" applyAlignment="1">
      <alignment horizontal="center"/>
    </xf>
    <xf numFmtId="0" fontId="51" fillId="0" borderId="15" xfId="55" applyFont="1" applyFill="1" applyBorder="1" applyAlignment="1">
      <alignment horizontal="center" wrapText="1"/>
    </xf>
    <xf numFmtId="0" fontId="4" fillId="0" borderId="15" xfId="55" applyFont="1" applyFill="1" applyBorder="1" applyAlignment="1">
      <alignment horizontal="center" wrapText="1"/>
    </xf>
    <xf numFmtId="0" fontId="4" fillId="0" borderId="14" xfId="55" applyFont="1" applyFill="1" applyBorder="1" applyAlignment="1">
      <alignment horizontal="center" wrapText="1"/>
    </xf>
    <xf numFmtId="0" fontId="4" fillId="0" borderId="4" xfId="55" applyFont="1" applyFill="1" applyBorder="1" applyAlignment="1">
      <alignment horizontal="center" wrapText="1"/>
    </xf>
    <xf numFmtId="0" fontId="4" fillId="0" borderId="12" xfId="55" applyFont="1" applyFill="1" applyBorder="1" applyAlignment="1">
      <alignment horizontal="center" wrapText="1"/>
    </xf>
    <xf numFmtId="0" fontId="51" fillId="7" borderId="14" xfId="55" applyFont="1" applyFill="1" applyBorder="1" applyAlignment="1">
      <alignment horizontal="center"/>
    </xf>
    <xf numFmtId="0" fontId="51" fillId="7" borderId="14" xfId="55" applyFont="1" applyFill="1" applyBorder="1" applyAlignment="1">
      <alignment horizontal="center" wrapText="1"/>
    </xf>
    <xf numFmtId="0" fontId="4" fillId="7" borderId="15" xfId="55" applyFont="1" applyFill="1" applyBorder="1" applyAlignment="1">
      <alignment horizontal="center" wrapText="1"/>
    </xf>
    <xf numFmtId="0" fontId="4" fillId="7" borderId="14" xfId="55" applyFont="1" applyFill="1" applyBorder="1" applyAlignment="1">
      <alignment horizontal="center" wrapText="1"/>
    </xf>
    <xf numFmtId="0" fontId="51" fillId="7" borderId="10" xfId="55" applyFont="1" applyFill="1" applyBorder="1" applyAlignment="1">
      <alignment horizontal="center"/>
    </xf>
    <xf numFmtId="0" fontId="51" fillId="7" borderId="0" xfId="55" applyFont="1" applyFill="1" applyBorder="1" applyAlignment="1">
      <alignment horizontal="center"/>
    </xf>
    <xf numFmtId="0" fontId="51" fillId="7" borderId="0" xfId="55" applyFont="1" applyFill="1" applyBorder="1" applyAlignment="1">
      <alignment horizontal="center" wrapText="1"/>
    </xf>
    <xf numFmtId="0" fontId="4" fillId="0" borderId="9" xfId="55" applyFont="1" applyBorder="1" applyAlignment="1">
      <alignment horizontal="center" wrapText="1"/>
    </xf>
    <xf numFmtId="0" fontId="51" fillId="7" borderId="28" xfId="55" applyFont="1" applyFill="1" applyBorder="1" applyAlignment="1">
      <alignment horizontal="center"/>
    </xf>
    <xf numFmtId="0" fontId="51" fillId="7" borderId="17" xfId="55" applyFont="1" applyFill="1" applyBorder="1" applyAlignment="1">
      <alignment horizontal="center"/>
    </xf>
    <xf numFmtId="0" fontId="51" fillId="7" borderId="43" xfId="55" applyFont="1" applyFill="1" applyBorder="1" applyAlignment="1">
      <alignment horizontal="center"/>
    </xf>
    <xf numFmtId="0" fontId="51" fillId="7" borderId="17" xfId="55" applyFont="1" applyFill="1" applyBorder="1" applyAlignment="1">
      <alignment horizontal="center" wrapText="1"/>
    </xf>
    <xf numFmtId="0" fontId="4" fillId="0" borderId="17" xfId="55" applyFont="1" applyBorder="1" applyAlignment="1">
      <alignment horizontal="center" wrapText="1"/>
    </xf>
    <xf numFmtId="0" fontId="4" fillId="0" borderId="43" xfId="55" applyFont="1" applyBorder="1" applyAlignment="1">
      <alignment horizontal="center" wrapText="1"/>
    </xf>
    <xf numFmtId="0" fontId="4" fillId="0" borderId="15" xfId="55" applyFont="1" applyBorder="1" applyAlignment="1">
      <alignment horizontal="center" wrapText="1"/>
    </xf>
    <xf numFmtId="0" fontId="4" fillId="0" borderId="14" xfId="55" applyFont="1" applyBorder="1" applyAlignment="1">
      <alignment horizontal="center" wrapText="1"/>
    </xf>
    <xf numFmtId="173" fontId="51" fillId="7" borderId="0" xfId="32" applyNumberFormat="1" applyFont="1" applyFill="1" applyBorder="1" applyAlignment="1">
      <alignment horizontal="center" wrapText="1"/>
    </xf>
    <xf numFmtId="173" fontId="52" fillId="7" borderId="0" xfId="32" applyNumberFormat="1" applyFont="1" applyFill="1" applyBorder="1" applyAlignment="1">
      <alignment horizontal="center" wrapText="1"/>
    </xf>
    <xf numFmtId="172" fontId="4" fillId="0" borderId="0" xfId="0" applyFont="1" applyFill="1" applyBorder="1" applyAlignment="1">
      <alignment horizontal="left" wrapText="1"/>
    </xf>
    <xf numFmtId="0" fontId="65" fillId="0" borderId="22" xfId="0" applyNumberFormat="1" applyFont="1" applyBorder="1" applyAlignment="1">
      <alignment horizontal="center" wrapText="1"/>
    </xf>
    <xf numFmtId="0" fontId="65" fillId="0" borderId="6" xfId="0" applyNumberFormat="1" applyFont="1" applyBorder="1" applyAlignment="1">
      <alignment horizontal="center" wrapText="1"/>
    </xf>
    <xf numFmtId="0" fontId="65" fillId="0" borderId="23" xfId="0" applyNumberFormat="1" applyFont="1" applyBorder="1" applyAlignment="1">
      <alignment horizontal="center" wrapText="1"/>
    </xf>
    <xf numFmtId="172" fontId="0" fillId="14" borderId="7" xfId="0" applyFill="1" applyBorder="1" applyAlignment="1">
      <alignment horizontal="center"/>
    </xf>
    <xf numFmtId="172" fontId="0" fillId="0" borderId="7" xfId="0" applyBorder="1" applyAlignment="1">
      <alignment horizontal="center"/>
    </xf>
    <xf numFmtId="172" fontId="69" fillId="0" borderId="0" xfId="0" applyFont="1" applyFill="1" applyAlignment="1">
      <alignment horizontal="left" vertical="top" wrapText="1"/>
    </xf>
    <xf numFmtId="172" fontId="65" fillId="0" borderId="0" xfId="0" applyFont="1" applyAlignment="1">
      <alignment horizontal="left" wrapText="1"/>
    </xf>
    <xf numFmtId="0" fontId="65" fillId="0" borderId="0" xfId="55" applyFont="1" applyFill="1" applyBorder="1" applyAlignment="1">
      <alignment horizontal="left"/>
    </xf>
    <xf numFmtId="172" fontId="65" fillId="0" borderId="0" xfId="0" applyFont="1" applyAlignment="1"/>
    <xf numFmtId="0" fontId="65" fillId="0" borderId="0" xfId="55" applyFont="1" applyFill="1" applyAlignment="1">
      <alignment horizontal="center"/>
    </xf>
    <xf numFmtId="0" fontId="65" fillId="0" borderId="0" xfId="62" applyNumberFormat="1" applyFont="1" applyFill="1" applyAlignment="1">
      <alignment horizontal="center"/>
    </xf>
    <xf numFmtId="0" fontId="86" fillId="0" borderId="0" xfId="55" applyFont="1" applyFill="1" applyBorder="1" applyAlignment="1">
      <alignment horizontal="center"/>
    </xf>
    <xf numFmtId="0" fontId="78" fillId="0" borderId="0" xfId="55" applyFont="1" applyFill="1" applyBorder="1" applyAlignment="1">
      <alignment horizontal="center"/>
    </xf>
    <xf numFmtId="0" fontId="68" fillId="0" borderId="0" xfId="53" applyFont="1" applyFill="1" applyBorder="1" applyAlignment="1">
      <alignment horizontal="center"/>
    </xf>
    <xf numFmtId="0" fontId="62" fillId="0" borderId="0" xfId="53" applyFont="1" applyFill="1" applyAlignment="1">
      <alignment horizontal="center"/>
    </xf>
    <xf numFmtId="0" fontId="62" fillId="0" borderId="0" xfId="53" applyFont="1" applyFill="1" applyAlignment="1"/>
    <xf numFmtId="0" fontId="68" fillId="0" borderId="0" xfId="53" applyFont="1" applyFill="1" applyBorder="1" applyAlignment="1">
      <alignment wrapText="1"/>
    </xf>
    <xf numFmtId="0" fontId="68" fillId="0" borderId="0" xfId="53" applyFont="1" applyBorder="1" applyAlignment="1">
      <alignment wrapText="1"/>
    </xf>
    <xf numFmtId="0" fontId="48" fillId="0" borderId="0" xfId="53" applyFont="1" applyFill="1" applyBorder="1" applyAlignment="1">
      <alignment wrapText="1"/>
    </xf>
    <xf numFmtId="0" fontId="48" fillId="0" borderId="0" xfId="53" applyFont="1" applyBorder="1" applyAlignment="1">
      <alignment wrapText="1"/>
    </xf>
    <xf numFmtId="0" fontId="48" fillId="0" borderId="0" xfId="53" applyFont="1" applyFill="1" applyBorder="1" applyAlignment="1">
      <alignment horizontal="center"/>
    </xf>
    <xf numFmtId="0" fontId="6" fillId="0" borderId="0" xfId="53" applyFont="1" applyFill="1" applyAlignment="1">
      <alignment horizontal="center"/>
    </xf>
    <xf numFmtId="0" fontId="3" fillId="0" borderId="0" xfId="53" applyFont="1" applyFill="1" applyAlignment="1">
      <alignment horizontal="center"/>
    </xf>
    <xf numFmtId="0" fontId="3" fillId="0" borderId="0" xfId="53" applyFont="1" applyFill="1" applyAlignment="1"/>
    <xf numFmtId="3" fontId="67" fillId="16" borderId="0" xfId="55" applyNumberFormat="1" applyFont="1" applyFill="1" applyBorder="1" applyAlignment="1">
      <alignment horizontal="center" wrapText="1"/>
    </xf>
    <xf numFmtId="172" fontId="0" fillId="0" borderId="0" xfId="0" applyBorder="1" applyAlignment="1">
      <alignment wrapText="1"/>
    </xf>
    <xf numFmtId="0" fontId="29" fillId="0" borderId="0" xfId="126" applyFont="1" applyAlignment="1">
      <alignment horizontal="center"/>
    </xf>
    <xf numFmtId="172" fontId="67" fillId="16" borderId="0" xfId="0" applyFont="1" applyFill="1" applyBorder="1" applyAlignment="1">
      <alignment horizontal="center" wrapText="1"/>
    </xf>
    <xf numFmtId="172" fontId="65" fillId="0" borderId="0" xfId="0" applyFont="1" applyAlignment="1">
      <alignment horizontal="left" vertical="top" wrapText="1"/>
    </xf>
    <xf numFmtId="172" fontId="24" fillId="0" borderId="0" xfId="0" applyFont="1" applyAlignment="1">
      <alignment vertical="top" wrapText="1"/>
    </xf>
    <xf numFmtId="172" fontId="78" fillId="0" borderId="18" xfId="0" applyFont="1" applyBorder="1" applyAlignment="1">
      <alignment horizontal="center" vertical="center"/>
    </xf>
    <xf numFmtId="172" fontId="78" fillId="0" borderId="2" xfId="0" applyFont="1" applyBorder="1" applyAlignment="1">
      <alignment horizontal="center" vertical="center"/>
    </xf>
    <xf numFmtId="172" fontId="78" fillId="0" borderId="19" xfId="0" applyFont="1" applyBorder="1" applyAlignment="1">
      <alignment horizontal="center" vertical="center"/>
    </xf>
    <xf numFmtId="172" fontId="78" fillId="0" borderId="44" xfId="0" applyFont="1" applyBorder="1" applyAlignment="1">
      <alignment horizontal="center" vertical="center"/>
    </xf>
    <xf numFmtId="172" fontId="78" fillId="0" borderId="29" xfId="0" applyFont="1" applyBorder="1" applyAlignment="1">
      <alignment horizontal="center" vertical="center"/>
    </xf>
    <xf numFmtId="172" fontId="78" fillId="0" borderId="45" xfId="0" applyFont="1" applyBorder="1" applyAlignment="1">
      <alignment horizontal="center" vertical="center"/>
    </xf>
    <xf numFmtId="172" fontId="78" fillId="0" borderId="6" xfId="0" applyFont="1" applyBorder="1" applyAlignment="1">
      <alignment horizontal="center"/>
    </xf>
    <xf numFmtId="172" fontId="59" fillId="0" borderId="0" xfId="0" applyFont="1" applyFill="1" applyAlignment="1">
      <alignment horizontal="center"/>
    </xf>
    <xf numFmtId="172" fontId="3" fillId="0" borderId="0" xfId="0" applyFont="1" applyFill="1" applyAlignment="1" applyProtection="1">
      <alignment horizontal="center"/>
      <protection locked="0"/>
    </xf>
    <xf numFmtId="172" fontId="78" fillId="0" borderId="0" xfId="0" applyFont="1" applyFill="1" applyAlignment="1">
      <alignment horizontal="center"/>
    </xf>
    <xf numFmtId="172" fontId="78" fillId="0" borderId="0" xfId="0" applyFont="1" applyFill="1" applyAlignment="1" applyProtection="1">
      <alignment horizontal="center"/>
      <protection locked="0"/>
    </xf>
    <xf numFmtId="172" fontId="78" fillId="0" borderId="0" xfId="0" applyFont="1" applyFill="1" applyBorder="1" applyAlignment="1" applyProtection="1">
      <alignment horizontal="center"/>
      <protection locked="0"/>
    </xf>
    <xf numFmtId="172" fontId="78" fillId="0" borderId="0" xfId="0" applyFont="1" applyFill="1" applyBorder="1" applyAlignment="1">
      <alignment horizontal="center"/>
    </xf>
    <xf numFmtId="172" fontId="65" fillId="0" borderId="0" xfId="0" applyFont="1" applyFill="1" applyAlignment="1" applyProtection="1">
      <alignment horizontal="center"/>
      <protection locked="0"/>
    </xf>
    <xf numFmtId="172" fontId="65" fillId="0" borderId="0" xfId="0" applyFont="1" applyFill="1" applyAlignment="1">
      <alignment horizontal="center"/>
    </xf>
    <xf numFmtId="173" fontId="78" fillId="0" borderId="15" xfId="0" applyNumberFormat="1" applyFont="1" applyFill="1" applyBorder="1" applyAlignment="1" applyProtection="1">
      <alignment horizontal="center"/>
      <protection locked="0"/>
    </xf>
    <xf numFmtId="172" fontId="78" fillId="10" borderId="16" xfId="0" applyFont="1" applyFill="1" applyBorder="1" applyAlignment="1" applyProtection="1">
      <alignment horizontal="center"/>
      <protection locked="0"/>
    </xf>
    <xf numFmtId="172" fontId="78" fillId="10" borderId="15" xfId="0" applyFont="1" applyFill="1" applyBorder="1" applyAlignment="1" applyProtection="1">
      <alignment horizontal="center"/>
      <protection locked="0"/>
    </xf>
    <xf numFmtId="172" fontId="78" fillId="10" borderId="14" xfId="0" applyFont="1" applyFill="1" applyBorder="1" applyAlignment="1" applyProtection="1">
      <alignment horizontal="center"/>
      <protection locked="0"/>
    </xf>
    <xf numFmtId="172" fontId="65" fillId="0" borderId="0" xfId="0" applyFont="1" applyFill="1" applyAlignment="1" applyProtection="1">
      <alignment horizontal="left" wrapText="1"/>
      <protection locked="0"/>
    </xf>
    <xf numFmtId="172" fontId="0" fillId="0" borderId="0" xfId="0" applyFont="1" applyFill="1" applyAlignment="1">
      <alignment horizontal="center"/>
    </xf>
    <xf numFmtId="172" fontId="123" fillId="0" borderId="0" xfId="0" applyFont="1" applyAlignment="1">
      <alignment horizontal="left" vertical="center" wrapText="1"/>
    </xf>
    <xf numFmtId="172" fontId="61" fillId="0" borderId="0" xfId="0" applyFont="1" applyFill="1" applyAlignment="1">
      <alignment horizontal="center" wrapText="1"/>
    </xf>
    <xf numFmtId="172" fontId="61" fillId="0" borderId="0" xfId="0" applyFont="1" applyFill="1" applyAlignment="1">
      <alignment horizontal="center"/>
    </xf>
    <xf numFmtId="0" fontId="112" fillId="0" borderId="6" xfId="122" applyFont="1" applyBorder="1" applyAlignment="1">
      <alignment horizontal="center" wrapText="1"/>
    </xf>
    <xf numFmtId="173" fontId="113" fillId="0" borderId="2" xfId="123" applyNumberFormat="1" applyFont="1" applyBorder="1" applyAlignment="1">
      <alignment horizontal="right"/>
    </xf>
    <xf numFmtId="0" fontId="113" fillId="0" borderId="0" xfId="122" applyFont="1" applyAlignment="1">
      <alignment horizontal="left" vertical="top" wrapText="1"/>
    </xf>
    <xf numFmtId="0" fontId="112" fillId="0" borderId="0" xfId="122" applyFont="1" applyBorder="1" applyAlignment="1">
      <alignment horizontal="left" wrapText="1"/>
    </xf>
    <xf numFmtId="0" fontId="112" fillId="0" borderId="6" xfId="122" applyFont="1" applyBorder="1" applyAlignment="1">
      <alignment horizontal="left" wrapText="1"/>
    </xf>
    <xf numFmtId="49" fontId="113" fillId="0" borderId="0" xfId="122" applyNumberFormat="1" applyFont="1" applyAlignment="1">
      <alignment horizontal="left" vertical="top" wrapText="1"/>
    </xf>
    <xf numFmtId="49" fontId="113" fillId="0" borderId="0" xfId="123" applyNumberFormat="1" applyFont="1" applyAlignment="1">
      <alignment horizontal="left" vertical="top" wrapText="1"/>
    </xf>
    <xf numFmtId="173" fontId="113" fillId="0" borderId="57" xfId="123" applyNumberFormat="1" applyFont="1" applyBorder="1" applyAlignment="1">
      <alignment horizontal="right"/>
    </xf>
    <xf numFmtId="0" fontId="112" fillId="0" borderId="0" xfId="122" applyFont="1" applyBorder="1" applyAlignment="1">
      <alignment horizontal="center" wrapText="1"/>
    </xf>
    <xf numFmtId="43" fontId="113" fillId="0" borderId="57" xfId="123" applyFont="1" applyBorder="1" applyAlignment="1">
      <alignment horizontal="right"/>
    </xf>
    <xf numFmtId="43" fontId="113" fillId="0" borderId="0" xfId="123" applyFont="1" applyAlignment="1">
      <alignment horizontal="right"/>
    </xf>
    <xf numFmtId="173" fontId="113" fillId="0" borderId="0" xfId="123" applyNumberFormat="1" applyFont="1" applyAlignment="1">
      <alignment horizontal="left"/>
    </xf>
    <xf numFmtId="172" fontId="0" fillId="0" borderId="0" xfId="113" applyFont="1" applyFill="1" applyAlignment="1">
      <alignment horizontal="center"/>
    </xf>
    <xf numFmtId="172" fontId="24" fillId="0" borderId="0" xfId="113" applyFont="1" applyFill="1" applyAlignment="1">
      <alignment horizontal="center"/>
    </xf>
    <xf numFmtId="172" fontId="46" fillId="0" borderId="0" xfId="113" applyFont="1" applyFill="1" applyAlignment="1">
      <alignment horizontal="left"/>
    </xf>
    <xf numFmtId="172" fontId="69" fillId="0" borderId="0" xfId="113" applyFont="1" applyFill="1" applyAlignment="1">
      <alignment horizontal="center"/>
    </xf>
    <xf numFmtId="172" fontId="116" fillId="0" borderId="0" xfId="113" applyFont="1" applyAlignment="1">
      <alignment wrapText="1"/>
    </xf>
    <xf numFmtId="172" fontId="116" fillId="0" borderId="0" xfId="113" applyFont="1" applyAlignment="1">
      <alignment horizontal="left"/>
    </xf>
    <xf numFmtId="172" fontId="4" fillId="0" borderId="4" xfId="113" applyFont="1" applyFill="1" applyBorder="1" applyAlignment="1">
      <alignment horizontal="center"/>
    </xf>
  </cellXfs>
  <cellStyles count="133">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7" xr:uid="{00000000-0005-0000-0000-000017000000}"/>
    <cellStyle name="C06A" xfId="24" xr:uid="{00000000-0005-0000-0000-000018000000}"/>
    <cellStyle name="C06B" xfId="25" xr:uid="{00000000-0005-0000-0000-000019000000}"/>
    <cellStyle name="C06H" xfId="26" xr:uid="{00000000-0005-0000-0000-00001A000000}"/>
    <cellStyle name="C06L" xfId="27" xr:uid="{00000000-0005-0000-0000-00001B000000}"/>
    <cellStyle name="C07A" xfId="28" xr:uid="{00000000-0005-0000-0000-00001C000000}"/>
    <cellStyle name="C07B" xfId="29" xr:uid="{00000000-0005-0000-0000-00001D000000}"/>
    <cellStyle name="C07H" xfId="30" xr:uid="{00000000-0005-0000-0000-00001E000000}"/>
    <cellStyle name="C07L" xfId="31" xr:uid="{00000000-0005-0000-0000-00001F000000}"/>
    <cellStyle name="Comma" xfId="32" builtinId="3"/>
    <cellStyle name="Comma [0]" xfId="33" builtinId="6"/>
    <cellStyle name="Comma 11" xfId="112" xr:uid="{00000000-0005-0000-0000-000022000000}"/>
    <cellStyle name="Comma 2" xfId="34" xr:uid="{00000000-0005-0000-0000-000023000000}"/>
    <cellStyle name="Comma 2 2" xfId="35" xr:uid="{00000000-0005-0000-0000-000024000000}"/>
    <cellStyle name="Comma 3" xfId="36" xr:uid="{00000000-0005-0000-0000-000025000000}"/>
    <cellStyle name="Comma 3 2" xfId="37" xr:uid="{00000000-0005-0000-0000-000026000000}"/>
    <cellStyle name="Comma 4" xfId="38" xr:uid="{00000000-0005-0000-0000-000027000000}"/>
    <cellStyle name="Comma 5" xfId="115" xr:uid="{00000000-0005-0000-0000-000028000000}"/>
    <cellStyle name="Comma 5 2" xfId="121" xr:uid="{00000000-0005-0000-0000-000029000000}"/>
    <cellStyle name="Comma 6" xfId="123" xr:uid="{00000000-0005-0000-0000-00002A000000}"/>
    <cellStyle name="Comma 95" xfId="127" xr:uid="{1B77AA19-8E88-4552-8066-80FEEBD0152B}"/>
    <cellStyle name="Comma0" xfId="39" xr:uid="{00000000-0005-0000-0000-00002B000000}"/>
    <cellStyle name="Config Data" xfId="40" xr:uid="{00000000-0005-0000-0000-00002C000000}"/>
    <cellStyle name="Currency" xfId="41" builtinId="4"/>
    <cellStyle name="Currency 2" xfId="42" xr:uid="{00000000-0005-0000-0000-00002E000000}"/>
    <cellStyle name="Currency 2 2" xfId="43" xr:uid="{00000000-0005-0000-0000-00002F000000}"/>
    <cellStyle name="Currency 3" xfId="44" xr:uid="{00000000-0005-0000-0000-000030000000}"/>
    <cellStyle name="Currency 3 2" xfId="45" xr:uid="{00000000-0005-0000-0000-000031000000}"/>
    <cellStyle name="Currency 4" xfId="125" xr:uid="{00000000-0005-0000-0000-000032000000}"/>
    <cellStyle name="Currency0" xfId="46" xr:uid="{00000000-0005-0000-0000-000033000000}"/>
    <cellStyle name="Date" xfId="47" xr:uid="{00000000-0005-0000-0000-000034000000}"/>
    <cellStyle name="Fixed" xfId="48" xr:uid="{00000000-0005-0000-0000-000035000000}"/>
    <cellStyle name="Heading 1" xfId="49" builtinId="16" customBuiltin="1"/>
    <cellStyle name="Heading 2" xfId="50" builtinId="17" customBuiltin="1"/>
    <cellStyle name="Heading 2 2" xfId="118" xr:uid="{00000000-0005-0000-0000-000038000000}"/>
    <cellStyle name="Heading1" xfId="51" xr:uid="{00000000-0005-0000-0000-000039000000}"/>
    <cellStyle name="Heading2" xfId="52" xr:uid="{00000000-0005-0000-0000-00003A000000}"/>
    <cellStyle name="Hyperlink" xfId="116" builtinId="8"/>
    <cellStyle name="Normal" xfId="0" builtinId="0"/>
    <cellStyle name="Normal 10" xfId="131" xr:uid="{02FB024F-6B4F-4151-9209-05808C909F1D}"/>
    <cellStyle name="Normal 2" xfId="53" xr:uid="{00000000-0005-0000-0000-00003D000000}"/>
    <cellStyle name="Normal 2 2" xfId="130" xr:uid="{9E9EEDA0-EE52-4E40-8426-677A96AF5F78}"/>
    <cellStyle name="Normal 3" xfId="54" xr:uid="{00000000-0005-0000-0000-00003E000000}"/>
    <cellStyle name="Normal 3 2" xfId="55" xr:uid="{00000000-0005-0000-0000-00003F000000}"/>
    <cellStyle name="Normal 3 3" xfId="129" xr:uid="{011237F2-DD29-4FDD-BE8C-7A860EA1223C}"/>
    <cellStyle name="Normal 3_Attach O, GG, Support -New Method 2-14-11" xfId="56" xr:uid="{00000000-0005-0000-0000-000040000000}"/>
    <cellStyle name="Normal 4" xfId="57" xr:uid="{00000000-0005-0000-0000-000041000000}"/>
    <cellStyle name="Normal 4 2" xfId="58" xr:uid="{00000000-0005-0000-0000-000042000000}"/>
    <cellStyle name="Normal 4 3" xfId="132" xr:uid="{2FE3302E-AE1E-4094-A86B-10D5E60021DE}"/>
    <cellStyle name="Normal 5" xfId="113" xr:uid="{00000000-0005-0000-0000-000043000000}"/>
    <cellStyle name="Normal 6" xfId="114" xr:uid="{00000000-0005-0000-0000-000044000000}"/>
    <cellStyle name="Normal 6 2" xfId="120" xr:uid="{00000000-0005-0000-0000-000045000000}"/>
    <cellStyle name="Normal 7" xfId="59" xr:uid="{00000000-0005-0000-0000-000046000000}"/>
    <cellStyle name="Normal 8" xfId="122" xr:uid="{00000000-0005-0000-0000-000047000000}"/>
    <cellStyle name="Normal 9" xfId="128" xr:uid="{E775BB28-358E-496F-AC81-EA7E0D80D092}"/>
    <cellStyle name="Normal_21 Exh B" xfId="60" xr:uid="{00000000-0005-0000-0000-000048000000}"/>
    <cellStyle name="Normal_AR workpaper --2002 Def Tax Exp by Account 8-14-02" xfId="61" xr:uid="{00000000-0005-0000-0000-000049000000}"/>
    <cellStyle name="Normal_Attachment Os for 2002 True-up" xfId="62" xr:uid="{00000000-0005-0000-0000-00004A000000}"/>
    <cellStyle name="Normal_PRECorp2002HeintzResponse 8-21-03" xfId="126" xr:uid="{BEF4253E-4F4A-44AC-BA08-767F4F80773D}"/>
    <cellStyle name="Normal_TrAILCo attach 6 &amp; 7 and Appendix A" xfId="63" xr:uid="{00000000-0005-0000-0000-00004B000000}"/>
    <cellStyle name="Percent" xfId="64" builtinId="5"/>
    <cellStyle name="Percent 2" xfId="65" xr:uid="{00000000-0005-0000-0000-00004D000000}"/>
    <cellStyle name="Percent 2 2" xfId="66" xr:uid="{00000000-0005-0000-0000-00004E000000}"/>
    <cellStyle name="Percent 3" xfId="67" xr:uid="{00000000-0005-0000-0000-00004F000000}"/>
    <cellStyle name="Percent 3 2" xfId="68" xr:uid="{00000000-0005-0000-0000-000050000000}"/>
    <cellStyle name="Percent 4" xfId="69" xr:uid="{00000000-0005-0000-0000-000051000000}"/>
    <cellStyle name="Percent 5" xfId="124" xr:uid="{00000000-0005-0000-0000-000052000000}"/>
    <cellStyle name="PSChar" xfId="70" xr:uid="{00000000-0005-0000-0000-000053000000}"/>
    <cellStyle name="PSDate" xfId="71" xr:uid="{00000000-0005-0000-0000-000054000000}"/>
    <cellStyle name="PSDec" xfId="72" xr:uid="{00000000-0005-0000-0000-000055000000}"/>
    <cellStyle name="PSdesc" xfId="73" xr:uid="{00000000-0005-0000-0000-000056000000}"/>
    <cellStyle name="PSHeading" xfId="74" xr:uid="{00000000-0005-0000-0000-000057000000}"/>
    <cellStyle name="PSInt" xfId="75" xr:uid="{00000000-0005-0000-0000-000058000000}"/>
    <cellStyle name="PSSpacer" xfId="76" xr:uid="{00000000-0005-0000-0000-000059000000}"/>
    <cellStyle name="PStest" xfId="77" xr:uid="{00000000-0005-0000-0000-00005A000000}"/>
    <cellStyle name="R00A" xfId="78" xr:uid="{00000000-0005-0000-0000-00005B000000}"/>
    <cellStyle name="R00B" xfId="79" xr:uid="{00000000-0005-0000-0000-00005C000000}"/>
    <cellStyle name="R00L" xfId="80" xr:uid="{00000000-0005-0000-0000-00005D000000}"/>
    <cellStyle name="R01A" xfId="81" xr:uid="{00000000-0005-0000-0000-00005E000000}"/>
    <cellStyle name="R01B" xfId="82" xr:uid="{00000000-0005-0000-0000-00005F000000}"/>
    <cellStyle name="R01H" xfId="83" xr:uid="{00000000-0005-0000-0000-000060000000}"/>
    <cellStyle name="R01L" xfId="84" xr:uid="{00000000-0005-0000-0000-000061000000}"/>
    <cellStyle name="R02A" xfId="85" xr:uid="{00000000-0005-0000-0000-000062000000}"/>
    <cellStyle name="R02B" xfId="86" xr:uid="{00000000-0005-0000-0000-000063000000}"/>
    <cellStyle name="R02H" xfId="87" xr:uid="{00000000-0005-0000-0000-000064000000}"/>
    <cellStyle name="R02L" xfId="88" xr:uid="{00000000-0005-0000-0000-000065000000}"/>
    <cellStyle name="R03A" xfId="89" xr:uid="{00000000-0005-0000-0000-000066000000}"/>
    <cellStyle name="R03B" xfId="90" xr:uid="{00000000-0005-0000-0000-000067000000}"/>
    <cellStyle name="R03H" xfId="91" xr:uid="{00000000-0005-0000-0000-000068000000}"/>
    <cellStyle name="R03L" xfId="92" xr:uid="{00000000-0005-0000-0000-000069000000}"/>
    <cellStyle name="R04A" xfId="93" xr:uid="{00000000-0005-0000-0000-00006A000000}"/>
    <cellStyle name="R04B" xfId="94" xr:uid="{00000000-0005-0000-0000-00006B000000}"/>
    <cellStyle name="R04H" xfId="95" xr:uid="{00000000-0005-0000-0000-00006C000000}"/>
    <cellStyle name="R04L" xfId="96" xr:uid="{00000000-0005-0000-0000-00006D000000}"/>
    <cellStyle name="R05A" xfId="97" xr:uid="{00000000-0005-0000-0000-00006E000000}"/>
    <cellStyle name="R05B" xfId="98" xr:uid="{00000000-0005-0000-0000-00006F000000}"/>
    <cellStyle name="R05H" xfId="99" xr:uid="{00000000-0005-0000-0000-000070000000}"/>
    <cellStyle name="R05L" xfId="100" xr:uid="{00000000-0005-0000-0000-000071000000}"/>
    <cellStyle name="R05L 2" xfId="119" xr:uid="{00000000-0005-0000-0000-000072000000}"/>
    <cellStyle name="R06A" xfId="101" xr:uid="{00000000-0005-0000-0000-000073000000}"/>
    <cellStyle name="R06B" xfId="102" xr:uid="{00000000-0005-0000-0000-000074000000}"/>
    <cellStyle name="R06H" xfId="103" xr:uid="{00000000-0005-0000-0000-000075000000}"/>
    <cellStyle name="R06L" xfId="104" xr:uid="{00000000-0005-0000-0000-000076000000}"/>
    <cellStyle name="R07A" xfId="105" xr:uid="{00000000-0005-0000-0000-000077000000}"/>
    <cellStyle name="R07B" xfId="106" xr:uid="{00000000-0005-0000-0000-000078000000}"/>
    <cellStyle name="R07H" xfId="107" xr:uid="{00000000-0005-0000-0000-000079000000}"/>
    <cellStyle name="R07L" xfId="108" xr:uid="{00000000-0005-0000-0000-00007A000000}"/>
    <cellStyle name="SECTION" xfId="109" xr:uid="{00000000-0005-0000-0000-00007B000000}"/>
    <cellStyle name="System Defined" xfId="110" xr:uid="{00000000-0005-0000-0000-00007C00000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3</xdr:row>
          <xdr:rowOff>152400</xdr:rowOff>
        </xdr:from>
        <xdr:to>
          <xdr:col>2</xdr:col>
          <xdr:colOff>1000125</xdr:colOff>
          <xdr:row>3</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800-000002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100853</xdr:colOff>
      <xdr:row>39</xdr:row>
      <xdr:rowOff>61473</xdr:rowOff>
    </xdr:from>
    <xdr:to>
      <xdr:col>7</xdr:col>
      <xdr:colOff>287671</xdr:colOff>
      <xdr:row>41</xdr:row>
      <xdr:rowOff>33618</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445559" y="8084885"/>
          <a:ext cx="8736906" cy="35314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Current period amort</a:t>
          </a:r>
          <a:r>
            <a:rPr lang="en-US" sz="1100" baseline="0">
              <a:solidFill>
                <a:srgbClr val="FF0000"/>
              </a:solidFill>
            </a:rPr>
            <a:t> exp goes to Appendix III, portion of tax that gets grossed up and collected</a:t>
          </a:r>
          <a:endParaRPr 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4:C24"/>
  <sheetViews>
    <sheetView workbookViewId="0">
      <selection activeCell="C14" sqref="C14:C15"/>
    </sheetView>
  </sheetViews>
  <sheetFormatPr defaultRowHeight="15"/>
  <cols>
    <col min="1" max="1" width="10.109375" bestFit="1" customWidth="1"/>
    <col min="2" max="2" width="5.109375" style="1315" customWidth="1"/>
  </cols>
  <sheetData>
    <row r="4" spans="1:3">
      <c r="B4" s="1315" t="s">
        <v>600</v>
      </c>
    </row>
    <row r="6" spans="1:3">
      <c r="A6" t="s">
        <v>602</v>
      </c>
      <c r="B6" s="1329" t="s">
        <v>603</v>
      </c>
      <c r="C6" t="s">
        <v>604</v>
      </c>
    </row>
    <row r="7" spans="1:3">
      <c r="A7" t="s">
        <v>601</v>
      </c>
      <c r="B7" s="1329">
        <v>1</v>
      </c>
      <c r="C7" t="s">
        <v>608</v>
      </c>
    </row>
    <row r="8" spans="1:3">
      <c r="A8" t="s">
        <v>601</v>
      </c>
      <c r="B8" s="1329">
        <f>+B7+1</f>
        <v>2</v>
      </c>
      <c r="C8" t="s">
        <v>605</v>
      </c>
    </row>
    <row r="9" spans="1:3">
      <c r="A9" t="s">
        <v>601</v>
      </c>
      <c r="B9" s="1329">
        <f>+B8+1</f>
        <v>3</v>
      </c>
      <c r="C9" t="s">
        <v>607</v>
      </c>
    </row>
    <row r="10" spans="1:3">
      <c r="A10" t="s">
        <v>601</v>
      </c>
      <c r="B10" s="1329">
        <f>+B9+1</f>
        <v>4</v>
      </c>
      <c r="C10" t="s">
        <v>606</v>
      </c>
    </row>
    <row r="11" spans="1:3">
      <c r="A11" t="s">
        <v>601</v>
      </c>
      <c r="B11" s="1329">
        <f>+B10+1</f>
        <v>5</v>
      </c>
      <c r="C11" t="s">
        <v>609</v>
      </c>
    </row>
    <row r="12" spans="1:3">
      <c r="A12" t="s">
        <v>601</v>
      </c>
      <c r="B12" s="1329" t="s">
        <v>613</v>
      </c>
      <c r="C12" t="s">
        <v>610</v>
      </c>
    </row>
    <row r="13" spans="1:3">
      <c r="A13" t="str">
        <f>+A12</f>
        <v xml:space="preserve">Attachment </v>
      </c>
      <c r="B13" s="1329" t="s">
        <v>614</v>
      </c>
      <c r="C13" t="s">
        <v>611</v>
      </c>
    </row>
    <row r="14" spans="1:3">
      <c r="A14" s="344" t="str">
        <f t="shared" ref="A14:A15" si="0">+A13</f>
        <v xml:space="preserve">Attachment </v>
      </c>
      <c r="B14" s="1329" t="s">
        <v>1208</v>
      </c>
      <c r="C14" s="857" t="s">
        <v>1210</v>
      </c>
    </row>
    <row r="15" spans="1:3">
      <c r="A15" s="344" t="str">
        <f t="shared" si="0"/>
        <v xml:space="preserve">Attachment </v>
      </c>
      <c r="B15" s="1329" t="s">
        <v>1209</v>
      </c>
      <c r="C15" s="857" t="s">
        <v>1211</v>
      </c>
    </row>
    <row r="16" spans="1:3">
      <c r="A16" t="s">
        <v>601</v>
      </c>
      <c r="B16" s="1329" t="s">
        <v>615</v>
      </c>
      <c r="C16" t="s">
        <v>616</v>
      </c>
    </row>
    <row r="17" spans="1:3">
      <c r="A17" t="s">
        <v>601</v>
      </c>
      <c r="B17" s="1329">
        <f>+B16+1</f>
        <v>8</v>
      </c>
      <c r="C17" t="s">
        <v>756</v>
      </c>
    </row>
    <row r="18" spans="1:3">
      <c r="A18" t="s">
        <v>601</v>
      </c>
      <c r="B18" s="1329">
        <f>+B17+1</f>
        <v>9</v>
      </c>
      <c r="C18" t="s">
        <v>612</v>
      </c>
    </row>
    <row r="19" spans="1:3">
      <c r="A19" t="s">
        <v>601</v>
      </c>
      <c r="B19" s="1117">
        <v>10</v>
      </c>
      <c r="C19" t="s">
        <v>921</v>
      </c>
    </row>
    <row r="20" spans="1:3">
      <c r="A20" t="str">
        <f>+A19</f>
        <v xml:space="preserve">Attachment </v>
      </c>
      <c r="B20" s="1117">
        <v>11</v>
      </c>
      <c r="C20" t="s">
        <v>922</v>
      </c>
    </row>
    <row r="21" spans="1:3">
      <c r="A21" t="str">
        <f>+A20</f>
        <v xml:space="preserve">Attachment </v>
      </c>
      <c r="B21" s="1117">
        <v>12</v>
      </c>
      <c r="C21" t="s">
        <v>1032</v>
      </c>
    </row>
    <row r="22" spans="1:3">
      <c r="A22" t="str">
        <f>+A21</f>
        <v xml:space="preserve">Attachment </v>
      </c>
      <c r="B22" s="1117">
        <v>13</v>
      </c>
      <c r="C22" t="s">
        <v>268</v>
      </c>
    </row>
    <row r="23" spans="1:3">
      <c r="A23" t="str">
        <f>+A22</f>
        <v xml:space="preserve">Attachment </v>
      </c>
      <c r="B23" s="1117">
        <v>14</v>
      </c>
      <c r="C23" t="s">
        <v>1031</v>
      </c>
    </row>
    <row r="24" spans="1:3">
      <c r="B24" s="132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499984740745262"/>
    <pageSetUpPr fitToPage="1"/>
  </sheetPr>
  <dimension ref="A1:U521"/>
  <sheetViews>
    <sheetView view="pageBreakPreview" zoomScale="70" zoomScaleNormal="50" zoomScaleSheetLayoutView="70" workbookViewId="0">
      <selection activeCell="B16" sqref="B16"/>
    </sheetView>
  </sheetViews>
  <sheetFormatPr defaultColWidth="8.88671875" defaultRowHeight="15"/>
  <cols>
    <col min="1" max="1" width="3.88671875" style="454" customWidth="1"/>
    <col min="2" max="2" width="51.44140625" style="463" customWidth="1"/>
    <col min="3" max="3" width="22.109375" style="454" customWidth="1"/>
    <col min="4" max="4" width="22.21875" style="454" customWidth="1"/>
    <col min="5" max="5" width="20.21875" style="454" customWidth="1"/>
    <col min="6" max="6" width="16.6640625" style="454" customWidth="1"/>
    <col min="7" max="7" width="20.88671875" style="454" customWidth="1"/>
    <col min="8" max="8" width="58.88671875" style="454" customWidth="1"/>
    <col min="9" max="16384" width="8.88671875" style="454"/>
  </cols>
  <sheetData>
    <row r="1" spans="1:21" ht="18">
      <c r="B1" s="1720" t="str">
        <f>+'Appendix III'!E8</f>
        <v>MidAmerican Central California Transco, LLC</v>
      </c>
      <c r="C1" s="1721"/>
      <c r="D1" s="1721"/>
      <c r="E1" s="1721"/>
      <c r="F1" s="1721"/>
      <c r="G1" s="1721"/>
      <c r="H1" s="1721"/>
      <c r="I1" s="453"/>
      <c r="J1" s="453"/>
    </row>
    <row r="2" spans="1:21" ht="18">
      <c r="B2" s="1720" t="s">
        <v>357</v>
      </c>
      <c r="C2" s="1720"/>
      <c r="D2" s="1720"/>
      <c r="E2" s="1720"/>
      <c r="F2" s="1720"/>
      <c r="G2" s="1720"/>
      <c r="H2" s="1720"/>
      <c r="I2" s="453"/>
      <c r="J2" s="453"/>
    </row>
    <row r="3" spans="1:21" ht="18">
      <c r="B3" s="1720" t="s">
        <v>198</v>
      </c>
      <c r="C3" s="1720"/>
      <c r="D3" s="1720"/>
      <c r="E3" s="1720"/>
      <c r="F3" s="1720"/>
      <c r="G3" s="1720"/>
      <c r="H3" s="1720"/>
      <c r="I3" s="453"/>
      <c r="J3" s="453"/>
    </row>
    <row r="4" spans="1:21" s="455" customFormat="1" ht="4.5" customHeight="1">
      <c r="B4" s="498"/>
      <c r="C4" s="498"/>
      <c r="D4" s="498"/>
      <c r="E4" s="498"/>
      <c r="F4" s="498"/>
      <c r="G4" s="498"/>
      <c r="H4" s="498"/>
      <c r="I4" s="674"/>
      <c r="J4" s="674"/>
    </row>
    <row r="5" spans="1:21" s="455" customFormat="1" ht="18">
      <c r="B5" s="517"/>
      <c r="C5" s="518"/>
      <c r="D5" s="498"/>
      <c r="E5" s="498"/>
      <c r="F5" s="518"/>
      <c r="G5" s="498"/>
      <c r="H5" s="518"/>
    </row>
    <row r="6" spans="1:21" s="455" customFormat="1" ht="18">
      <c r="B6" s="517"/>
      <c r="C6" s="518"/>
      <c r="D6" s="499" t="s">
        <v>25</v>
      </c>
      <c r="E6" s="499" t="s">
        <v>330</v>
      </c>
      <c r="F6" s="499" t="s">
        <v>325</v>
      </c>
      <c r="G6" s="499" t="s">
        <v>20</v>
      </c>
      <c r="H6" s="518"/>
      <c r="J6" s="456"/>
      <c r="K6" s="456"/>
      <c r="L6" s="456"/>
      <c r="M6" s="456"/>
      <c r="N6" s="456"/>
      <c r="O6" s="456"/>
      <c r="P6" s="456"/>
      <c r="Q6" s="456"/>
      <c r="R6" s="456"/>
      <c r="S6" s="456"/>
      <c r="T6" s="456"/>
      <c r="U6" s="457"/>
    </row>
    <row r="7" spans="1:21" s="455" customFormat="1" ht="18">
      <c r="A7" s="455" t="s">
        <v>659</v>
      </c>
      <c r="B7" s="517" t="s">
        <v>267</v>
      </c>
      <c r="C7" s="518"/>
      <c r="D7" s="499" t="s">
        <v>331</v>
      </c>
      <c r="E7" s="499" t="s">
        <v>331</v>
      </c>
      <c r="F7" s="499" t="s">
        <v>331</v>
      </c>
      <c r="G7" s="499" t="s">
        <v>1</v>
      </c>
      <c r="H7" s="518"/>
      <c r="J7" s="456"/>
      <c r="K7" s="456"/>
      <c r="L7" s="456"/>
      <c r="M7" s="456"/>
      <c r="N7" s="456"/>
      <c r="O7" s="456"/>
      <c r="P7" s="456"/>
      <c r="Q7" s="456"/>
      <c r="R7" s="456"/>
      <c r="S7" s="456"/>
      <c r="T7" s="456"/>
      <c r="U7" s="457"/>
    </row>
    <row r="8" spans="1:21" s="455" customFormat="1" ht="18">
      <c r="B8" s="568"/>
      <c r="C8" s="518"/>
      <c r="D8" s="518"/>
      <c r="E8" s="518"/>
      <c r="F8" s="518"/>
      <c r="G8" s="518"/>
      <c r="H8" s="518"/>
    </row>
    <row r="9" spans="1:21" s="455" customFormat="1" ht="18">
      <c r="A9" s="455">
        <v>1</v>
      </c>
      <c r="B9" s="518" t="s">
        <v>332</v>
      </c>
      <c r="D9" s="519">
        <f>+E67</f>
        <v>0</v>
      </c>
      <c r="E9" s="519">
        <f>+F67</f>
        <v>0</v>
      </c>
      <c r="F9" s="519">
        <f>+G67</f>
        <v>0</v>
      </c>
      <c r="G9" s="519"/>
      <c r="H9" s="518" t="s">
        <v>333</v>
      </c>
    </row>
    <row r="10" spans="1:21" s="455" customFormat="1" ht="18">
      <c r="A10" s="455">
        <f>+A9+1</f>
        <v>2</v>
      </c>
      <c r="B10" s="518" t="s">
        <v>334</v>
      </c>
      <c r="D10" s="519">
        <f>+E96</f>
        <v>-2441685</v>
      </c>
      <c r="E10" s="519">
        <f>+F96</f>
        <v>0</v>
      </c>
      <c r="F10" s="519">
        <f>+G96</f>
        <v>0</v>
      </c>
      <c r="G10" s="519"/>
      <c r="H10" s="518" t="s">
        <v>335</v>
      </c>
    </row>
    <row r="11" spans="1:21" s="455" customFormat="1" ht="18">
      <c r="A11" s="455">
        <f t="shared" ref="A11:A74" si="0">+A10+1</f>
        <v>3</v>
      </c>
      <c r="B11" s="518" t="s">
        <v>336</v>
      </c>
      <c r="D11" s="519">
        <f>E39</f>
        <v>0</v>
      </c>
      <c r="E11" s="519">
        <f>F39</f>
        <v>0</v>
      </c>
      <c r="F11" s="519">
        <f>G39</f>
        <v>0</v>
      </c>
      <c r="G11" s="519"/>
      <c r="H11" s="518" t="s">
        <v>337</v>
      </c>
    </row>
    <row r="12" spans="1:21" s="455" customFormat="1" ht="18">
      <c r="A12" s="455">
        <f t="shared" si="0"/>
        <v>4</v>
      </c>
      <c r="B12" s="518" t="s">
        <v>338</v>
      </c>
      <c r="D12" s="519">
        <f>SUM(D9:D11)</f>
        <v>-2441685</v>
      </c>
      <c r="E12" s="519">
        <f>SUM(E9:E11)</f>
        <v>0</v>
      </c>
      <c r="F12" s="519">
        <f>SUM(F9:F11)</f>
        <v>0</v>
      </c>
      <c r="G12" s="519"/>
      <c r="H12" s="520"/>
    </row>
    <row r="13" spans="1:21" s="455" customFormat="1" ht="18">
      <c r="A13" s="455">
        <f t="shared" si="0"/>
        <v>5</v>
      </c>
      <c r="B13" s="518" t="s">
        <v>339</v>
      </c>
      <c r="D13" s="518"/>
      <c r="E13" s="518"/>
      <c r="F13" s="727">
        <f>+'Appendix III'!J200</f>
        <v>1</v>
      </c>
      <c r="G13" s="518"/>
      <c r="H13" s="518" t="s">
        <v>1034</v>
      </c>
    </row>
    <row r="14" spans="1:21" s="455" customFormat="1" ht="18">
      <c r="A14" s="455">
        <f t="shared" si="0"/>
        <v>6</v>
      </c>
      <c r="B14" s="518" t="s">
        <v>37</v>
      </c>
      <c r="D14" s="518"/>
      <c r="E14" s="522">
        <f>+'6b- ADIT'!E14</f>
        <v>1</v>
      </c>
      <c r="F14" s="518"/>
      <c r="G14" s="518"/>
      <c r="H14" s="518" t="s">
        <v>1035</v>
      </c>
    </row>
    <row r="15" spans="1:21" s="455" customFormat="1" ht="18">
      <c r="A15" s="455">
        <f t="shared" si="0"/>
        <v>7</v>
      </c>
      <c r="B15" s="518" t="s">
        <v>198</v>
      </c>
      <c r="D15" s="519">
        <f>+D12</f>
        <v>-2441685</v>
      </c>
      <c r="E15" s="519">
        <f>+E14*E12</f>
        <v>0</v>
      </c>
      <c r="F15" s="519">
        <f>+F13*F12</f>
        <v>0</v>
      </c>
      <c r="G15" s="519">
        <f>+D15+E15+F15</f>
        <v>-2441685</v>
      </c>
      <c r="H15" s="521"/>
    </row>
    <row r="16" spans="1:21" s="1563" customFormat="1" ht="18">
      <c r="A16" s="455">
        <f t="shared" si="0"/>
        <v>8</v>
      </c>
      <c r="B16" s="1564"/>
      <c r="C16" s="1565"/>
      <c r="D16" s="1566"/>
      <c r="E16" s="1566"/>
      <c r="F16" s="1566"/>
      <c r="G16" s="1566"/>
      <c r="H16" s="1567"/>
    </row>
    <row r="17" spans="1:9" s="1563" customFormat="1" ht="18">
      <c r="A17" s="455">
        <f t="shared" si="0"/>
        <v>9</v>
      </c>
      <c r="B17" s="1564"/>
      <c r="C17" s="1565"/>
      <c r="D17" s="1566"/>
      <c r="E17" s="1566"/>
      <c r="F17" s="1566"/>
      <c r="G17" s="1566"/>
      <c r="H17" s="1567"/>
    </row>
    <row r="18" spans="1:9" s="455" customFormat="1" ht="18">
      <c r="A18" s="455">
        <f t="shared" si="0"/>
        <v>10</v>
      </c>
      <c r="B18" s="518"/>
      <c r="C18" s="518"/>
      <c r="D18" s="520"/>
      <c r="E18" s="518"/>
      <c r="F18" s="518"/>
      <c r="G18" s="518"/>
      <c r="H18" s="519"/>
    </row>
    <row r="19" spans="1:9" s="455" customFormat="1" ht="18">
      <c r="A19" s="455">
        <f t="shared" si="0"/>
        <v>11</v>
      </c>
      <c r="B19" s="518"/>
      <c r="C19" s="518"/>
      <c r="D19" s="518"/>
      <c r="E19" s="518"/>
      <c r="F19" s="518"/>
      <c r="G19" s="518"/>
      <c r="H19" s="522"/>
    </row>
    <row r="20" spans="1:9" s="455" customFormat="1" ht="18">
      <c r="A20" s="455">
        <f t="shared" si="0"/>
        <v>12</v>
      </c>
      <c r="B20" s="517" t="s">
        <v>341</v>
      </c>
      <c r="C20" s="518"/>
      <c r="D20" s="518"/>
      <c r="E20" s="518"/>
      <c r="F20" s="518"/>
      <c r="G20" s="518"/>
      <c r="H20" s="518"/>
    </row>
    <row r="21" spans="1:9" s="455" customFormat="1" ht="18">
      <c r="A21" s="455">
        <f t="shared" si="0"/>
        <v>13</v>
      </c>
      <c r="B21" s="517" t="s">
        <v>499</v>
      </c>
      <c r="C21" s="518"/>
      <c r="D21" s="518"/>
      <c r="E21" s="518"/>
      <c r="F21" s="518"/>
      <c r="G21" s="518"/>
      <c r="H21" s="518"/>
    </row>
    <row r="22" spans="1:9" s="455" customFormat="1" ht="18">
      <c r="A22" s="455">
        <f t="shared" si="0"/>
        <v>14</v>
      </c>
      <c r="B22" s="498" t="s">
        <v>76</v>
      </c>
      <c r="C22" s="498" t="s">
        <v>77</v>
      </c>
      <c r="D22" s="498" t="s">
        <v>78</v>
      </c>
      <c r="E22" s="498" t="s">
        <v>79</v>
      </c>
      <c r="F22" s="498" t="s">
        <v>80</v>
      </c>
      <c r="G22" s="498" t="s">
        <v>81</v>
      </c>
      <c r="H22" s="498" t="s">
        <v>83</v>
      </c>
    </row>
    <row r="23" spans="1:9" s="455" customFormat="1" ht="18">
      <c r="A23" s="455">
        <f t="shared" si="0"/>
        <v>15</v>
      </c>
      <c r="B23" s="517"/>
      <c r="C23" s="499" t="s">
        <v>20</v>
      </c>
      <c r="D23" s="499" t="s">
        <v>342</v>
      </c>
      <c r="E23" s="498"/>
      <c r="F23" s="498"/>
      <c r="G23" s="498"/>
      <c r="H23" s="518"/>
    </row>
    <row r="24" spans="1:9" s="455" customFormat="1" ht="18">
      <c r="A24" s="455">
        <f t="shared" si="0"/>
        <v>16</v>
      </c>
      <c r="B24" s="517" t="s">
        <v>336</v>
      </c>
      <c r="C24" s="499"/>
      <c r="D24" s="499" t="s">
        <v>343</v>
      </c>
      <c r="E24" s="499" t="s">
        <v>25</v>
      </c>
      <c r="F24" s="499" t="s">
        <v>330</v>
      </c>
      <c r="G24" s="499" t="s">
        <v>325</v>
      </c>
      <c r="H24" s="518"/>
    </row>
    <row r="25" spans="1:9" s="455" customFormat="1" ht="18">
      <c r="A25" s="455">
        <f t="shared" si="0"/>
        <v>17</v>
      </c>
      <c r="B25" s="517"/>
      <c r="C25" s="499"/>
      <c r="D25" s="499" t="s">
        <v>331</v>
      </c>
      <c r="E25" s="499" t="s">
        <v>331</v>
      </c>
      <c r="F25" s="499" t="s">
        <v>331</v>
      </c>
      <c r="G25" s="499" t="s">
        <v>331</v>
      </c>
      <c r="H25" s="498" t="s">
        <v>344</v>
      </c>
    </row>
    <row r="26" spans="1:9" ht="15.95" customHeight="1">
      <c r="A26" s="455">
        <f t="shared" si="0"/>
        <v>18</v>
      </c>
      <c r="B26" s="523"/>
      <c r="C26" s="471">
        <f>+E26</f>
        <v>0</v>
      </c>
      <c r="D26" s="472"/>
      <c r="E26" s="471"/>
      <c r="F26" s="472"/>
      <c r="G26" s="472"/>
      <c r="H26" s="526"/>
      <c r="I26" s="458"/>
    </row>
    <row r="27" spans="1:9" ht="15.95" customHeight="1">
      <c r="A27" s="455">
        <f t="shared" si="0"/>
        <v>19</v>
      </c>
      <c r="B27" s="527"/>
      <c r="C27" s="471"/>
      <c r="D27" s="472"/>
      <c r="E27" s="472"/>
      <c r="F27" s="472"/>
      <c r="G27" s="472"/>
      <c r="H27" s="526"/>
      <c r="I27" s="458"/>
    </row>
    <row r="28" spans="1:9" ht="15.95" customHeight="1">
      <c r="A28" s="455">
        <f t="shared" si="0"/>
        <v>20</v>
      </c>
      <c r="B28" s="527"/>
      <c r="C28" s="471"/>
      <c r="D28" s="472"/>
      <c r="E28" s="472"/>
      <c r="F28" s="472"/>
      <c r="G28" s="472"/>
      <c r="H28" s="526"/>
      <c r="I28" s="458"/>
    </row>
    <row r="29" spans="1:9" ht="15.95" customHeight="1">
      <c r="A29" s="455">
        <f t="shared" si="0"/>
        <v>21</v>
      </c>
      <c r="B29" s="527"/>
      <c r="C29" s="471"/>
      <c r="D29" s="472"/>
      <c r="E29" s="472"/>
      <c r="F29" s="472"/>
      <c r="G29" s="472"/>
      <c r="H29" s="526"/>
      <c r="I29" s="458"/>
    </row>
    <row r="30" spans="1:9" ht="15.95" customHeight="1">
      <c r="A30" s="455">
        <f t="shared" si="0"/>
        <v>22</v>
      </c>
      <c r="B30" s="527"/>
      <c r="C30" s="524"/>
      <c r="D30" s="525"/>
      <c r="E30" s="525"/>
      <c r="F30" s="525"/>
      <c r="G30" s="525"/>
      <c r="H30" s="526"/>
      <c r="I30" s="458"/>
    </row>
    <row r="31" spans="1:9" ht="15.95" customHeight="1">
      <c r="A31" s="455">
        <f t="shared" si="0"/>
        <v>23</v>
      </c>
      <c r="B31" s="527"/>
      <c r="C31" s="524"/>
      <c r="D31" s="525"/>
      <c r="E31" s="525"/>
      <c r="F31" s="525"/>
      <c r="G31" s="525"/>
      <c r="H31" s="526"/>
      <c r="I31" s="458"/>
    </row>
    <row r="32" spans="1:9" ht="15.95" customHeight="1">
      <c r="A32" s="455">
        <f t="shared" si="0"/>
        <v>24</v>
      </c>
      <c r="B32" s="527"/>
      <c r="C32" s="524"/>
      <c r="D32" s="525"/>
      <c r="E32" s="525"/>
      <c r="F32" s="525"/>
      <c r="G32" s="525"/>
      <c r="H32" s="526"/>
      <c r="I32" s="458"/>
    </row>
    <row r="33" spans="1:9" ht="15.95" customHeight="1">
      <c r="A33" s="455">
        <f t="shared" si="0"/>
        <v>25</v>
      </c>
      <c r="B33" s="527"/>
      <c r="C33" s="524"/>
      <c r="D33" s="528"/>
      <c r="E33" s="525"/>
      <c r="F33" s="525"/>
      <c r="G33" s="525"/>
      <c r="H33" s="526"/>
      <c r="I33" s="458"/>
    </row>
    <row r="34" spans="1:9" ht="15.95" customHeight="1">
      <c r="A34" s="455">
        <f t="shared" si="0"/>
        <v>26</v>
      </c>
      <c r="B34" s="527"/>
      <c r="C34" s="524"/>
      <c r="D34" s="525"/>
      <c r="E34" s="525"/>
      <c r="F34" s="525"/>
      <c r="G34" s="525"/>
      <c r="H34" s="526"/>
      <c r="I34" s="458"/>
    </row>
    <row r="35" spans="1:9" ht="15.95" customHeight="1">
      <c r="A35" s="455">
        <f t="shared" si="0"/>
        <v>27</v>
      </c>
      <c r="B35" s="527"/>
      <c r="C35" s="524"/>
      <c r="D35" s="524"/>
      <c r="E35" s="524"/>
      <c r="F35" s="524"/>
      <c r="G35" s="524"/>
      <c r="H35" s="526"/>
      <c r="I35" s="458"/>
    </row>
    <row r="36" spans="1:9" ht="15.95" customHeight="1">
      <c r="A36" s="455">
        <f t="shared" si="0"/>
        <v>28</v>
      </c>
      <c r="B36" s="552" t="s">
        <v>345</v>
      </c>
      <c r="C36" s="553">
        <f>SUBTOTAL(9,C26:C35)</f>
        <v>0</v>
      </c>
      <c r="D36" s="541">
        <f>SUM(D26:D35)</f>
        <v>0</v>
      </c>
      <c r="E36" s="541">
        <f>SUM(E26:E35)</f>
        <v>0</v>
      </c>
      <c r="F36" s="541">
        <f>SUM(F26:F35)</f>
        <v>0</v>
      </c>
      <c r="G36" s="541">
        <f>SUM(G26:G35)</f>
        <v>0</v>
      </c>
      <c r="H36" s="529"/>
      <c r="I36" s="458"/>
    </row>
    <row r="37" spans="1:9" ht="15.95" customHeight="1">
      <c r="A37" s="455">
        <f t="shared" si="0"/>
        <v>29</v>
      </c>
      <c r="B37" s="554" t="s">
        <v>346</v>
      </c>
      <c r="C37" s="530"/>
      <c r="D37" s="530"/>
      <c r="E37" s="530"/>
      <c r="F37" s="531"/>
      <c r="G37" s="532"/>
      <c r="H37" s="526"/>
      <c r="I37" s="458"/>
    </row>
    <row r="38" spans="1:9" ht="15.95" customHeight="1">
      <c r="A38" s="455">
        <f t="shared" si="0"/>
        <v>30</v>
      </c>
      <c r="B38" s="555" t="s">
        <v>347</v>
      </c>
      <c r="C38" s="533"/>
      <c r="D38" s="533"/>
      <c r="E38" s="533"/>
      <c r="F38" s="533"/>
      <c r="G38" s="533"/>
      <c r="H38" s="534"/>
      <c r="I38" s="458"/>
    </row>
    <row r="39" spans="1:9" ht="15.95" customHeight="1" thickBot="1">
      <c r="A39" s="455">
        <f t="shared" si="0"/>
        <v>31</v>
      </c>
      <c r="B39" s="556" t="s">
        <v>20</v>
      </c>
      <c r="C39" s="557">
        <f>+C36-C37-C38</f>
        <v>0</v>
      </c>
      <c r="D39" s="557">
        <f>+D36-D37-D38</f>
        <v>0</v>
      </c>
      <c r="E39" s="557">
        <f>+E36-E37-E38</f>
        <v>0</v>
      </c>
      <c r="F39" s="557">
        <f>+F36-F37-F38</f>
        <v>0</v>
      </c>
      <c r="G39" s="557">
        <f>+G36-G37-G38</f>
        <v>0</v>
      </c>
      <c r="H39" s="558"/>
      <c r="I39" s="458"/>
    </row>
    <row r="40" spans="1:9" ht="15.95" customHeight="1" thickTop="1">
      <c r="A40" s="455">
        <f t="shared" si="0"/>
        <v>32</v>
      </c>
      <c r="B40" s="542" t="s">
        <v>348</v>
      </c>
      <c r="C40" s="543"/>
      <c r="D40" s="545"/>
      <c r="E40" s="544"/>
      <c r="F40" s="535"/>
      <c r="G40" s="559"/>
      <c r="H40" s="535"/>
    </row>
    <row r="41" spans="1:9" ht="15.95" customHeight="1">
      <c r="A41" s="455">
        <f t="shared" si="0"/>
        <v>33</v>
      </c>
      <c r="B41" s="1722" t="s">
        <v>349</v>
      </c>
      <c r="C41" s="1723"/>
      <c r="D41" s="1723"/>
      <c r="E41" s="1723"/>
      <c r="F41" s="1723"/>
      <c r="G41" s="1723"/>
      <c r="H41" s="535"/>
    </row>
    <row r="42" spans="1:9" ht="15.95" customHeight="1">
      <c r="A42" s="455">
        <f t="shared" si="0"/>
        <v>34</v>
      </c>
      <c r="B42" s="550" t="s">
        <v>350</v>
      </c>
      <c r="C42" s="535"/>
      <c r="D42" s="542"/>
      <c r="E42" s="542"/>
      <c r="F42" s="544"/>
      <c r="G42" s="544"/>
      <c r="H42" s="535"/>
    </row>
    <row r="43" spans="1:9" ht="15.95" customHeight="1">
      <c r="A43" s="455">
        <f t="shared" si="0"/>
        <v>35</v>
      </c>
      <c r="B43" s="550" t="s">
        <v>351</v>
      </c>
      <c r="C43" s="535"/>
      <c r="D43" s="542"/>
      <c r="E43" s="542"/>
      <c r="F43" s="544"/>
      <c r="G43" s="544"/>
      <c r="H43" s="535"/>
    </row>
    <row r="44" spans="1:9" ht="15.95" customHeight="1">
      <c r="A44" s="455">
        <f t="shared" si="0"/>
        <v>36</v>
      </c>
      <c r="B44" s="550" t="s">
        <v>352</v>
      </c>
      <c r="C44" s="535"/>
      <c r="D44" s="542"/>
      <c r="E44" s="542"/>
      <c r="F44" s="544"/>
      <c r="G44" s="544"/>
      <c r="H44" s="535"/>
    </row>
    <row r="45" spans="1:9" ht="35.1" customHeight="1">
      <c r="A45" s="455">
        <f t="shared" si="0"/>
        <v>37</v>
      </c>
      <c r="B45" s="1722" t="s">
        <v>577</v>
      </c>
      <c r="C45" s="1722"/>
      <c r="D45" s="1722"/>
      <c r="E45" s="1722"/>
      <c r="F45" s="1722"/>
      <c r="G45" s="1722"/>
      <c r="H45" s="536"/>
    </row>
    <row r="46" spans="1:9" ht="35.1" customHeight="1">
      <c r="A46" s="455">
        <f t="shared" si="0"/>
        <v>38</v>
      </c>
      <c r="B46" s="548"/>
      <c r="C46" s="548"/>
      <c r="D46" s="548"/>
      <c r="E46" s="548"/>
      <c r="F46" s="548"/>
      <c r="G46" s="548"/>
      <c r="H46" s="536"/>
    </row>
    <row r="47" spans="1:9" s="674" customFormat="1" ht="24.95" customHeight="1">
      <c r="A47" s="455">
        <f t="shared" si="0"/>
        <v>39</v>
      </c>
      <c r="B47" s="1720" t="str">
        <f>+B1</f>
        <v>MidAmerican Central California Transco, LLC</v>
      </c>
      <c r="C47" s="1721"/>
      <c r="D47" s="1721"/>
      <c r="E47" s="1721"/>
      <c r="F47" s="1721"/>
      <c r="G47" s="1721"/>
      <c r="H47" s="1721"/>
      <c r="I47" s="675"/>
    </row>
    <row r="48" spans="1:9" s="674" customFormat="1" ht="24.95" customHeight="1">
      <c r="A48" s="455">
        <f t="shared" si="0"/>
        <v>40</v>
      </c>
      <c r="B48" s="1720" t="s">
        <v>357</v>
      </c>
      <c r="C48" s="1720"/>
      <c r="D48" s="1720"/>
      <c r="E48" s="1720"/>
      <c r="F48" s="1720"/>
      <c r="G48" s="1720"/>
      <c r="H48" s="1720"/>
      <c r="I48" s="675"/>
    </row>
    <row r="49" spans="1:9" s="674" customFormat="1" ht="24.95" customHeight="1">
      <c r="A49" s="455">
        <f t="shared" si="0"/>
        <v>41</v>
      </c>
      <c r="B49" s="1720" t="s">
        <v>198</v>
      </c>
      <c r="C49" s="1720"/>
      <c r="D49" s="1720"/>
      <c r="E49" s="1720"/>
      <c r="F49" s="1720"/>
      <c r="G49" s="1720"/>
      <c r="H49" s="1720"/>
      <c r="I49" s="675"/>
    </row>
    <row r="50" spans="1:9" s="455" customFormat="1" ht="15.95" customHeight="1">
      <c r="A50" s="455">
        <f t="shared" si="0"/>
        <v>42</v>
      </c>
      <c r="B50" s="676"/>
      <c r="C50" s="676"/>
      <c r="D50" s="676"/>
      <c r="E50" s="676"/>
      <c r="F50" s="676"/>
      <c r="G50" s="676"/>
      <c r="H50" s="676"/>
      <c r="I50" s="460"/>
    </row>
    <row r="51" spans="1:9" s="455" customFormat="1" ht="15.95" customHeight="1">
      <c r="A51" s="455">
        <f t="shared" si="0"/>
        <v>43</v>
      </c>
      <c r="B51" s="498" t="s">
        <v>76</v>
      </c>
      <c r="C51" s="498" t="s">
        <v>77</v>
      </c>
      <c r="D51" s="498" t="s">
        <v>78</v>
      </c>
      <c r="E51" s="498" t="s">
        <v>79</v>
      </c>
      <c r="F51" s="498" t="s">
        <v>80</v>
      </c>
      <c r="G51" s="498" t="s">
        <v>81</v>
      </c>
      <c r="H51" s="498" t="s">
        <v>83</v>
      </c>
      <c r="I51" s="460"/>
    </row>
    <row r="52" spans="1:9" s="455" customFormat="1" ht="15.95" customHeight="1">
      <c r="A52" s="455">
        <f t="shared" si="0"/>
        <v>44</v>
      </c>
      <c r="B52" s="518"/>
      <c r="C52" s="499" t="s">
        <v>20</v>
      </c>
      <c r="D52" s="499" t="s">
        <v>342</v>
      </c>
      <c r="E52" s="498"/>
      <c r="F52" s="498"/>
      <c r="G52" s="498"/>
      <c r="H52" s="518"/>
      <c r="I52" s="460"/>
    </row>
    <row r="53" spans="1:9" s="455" customFormat="1" ht="15.95" customHeight="1">
      <c r="A53" s="455">
        <f t="shared" si="0"/>
        <v>45</v>
      </c>
      <c r="B53" s="542" t="s">
        <v>332</v>
      </c>
      <c r="C53" s="499"/>
      <c r="D53" s="499" t="s">
        <v>343</v>
      </c>
      <c r="E53" s="499" t="s">
        <v>25</v>
      </c>
      <c r="F53" s="499" t="s">
        <v>330</v>
      </c>
      <c r="G53" s="499" t="s">
        <v>325</v>
      </c>
      <c r="H53" s="518"/>
      <c r="I53" s="460"/>
    </row>
    <row r="54" spans="1:9" s="455" customFormat="1" ht="15.95" customHeight="1">
      <c r="A54" s="455">
        <f t="shared" si="0"/>
        <v>46</v>
      </c>
      <c r="B54" s="550"/>
      <c r="C54" s="499"/>
      <c r="D54" s="499" t="s">
        <v>331</v>
      </c>
      <c r="E54" s="499" t="s">
        <v>331</v>
      </c>
      <c r="F54" s="499" t="s">
        <v>331</v>
      </c>
      <c r="G54" s="499" t="s">
        <v>331</v>
      </c>
      <c r="H54" s="498" t="s">
        <v>344</v>
      </c>
      <c r="I54" s="460"/>
    </row>
    <row r="55" spans="1:9" ht="15.95" customHeight="1">
      <c r="A55" s="455">
        <f t="shared" si="0"/>
        <v>47</v>
      </c>
      <c r="I55" s="458"/>
    </row>
    <row r="56" spans="1:9" ht="15.95" customHeight="1">
      <c r="A56" s="455">
        <f t="shared" si="0"/>
        <v>48</v>
      </c>
      <c r="B56" s="527"/>
      <c r="C56" s="471"/>
      <c r="D56" s="472"/>
      <c r="E56" s="472"/>
      <c r="F56" s="472"/>
      <c r="G56" s="472"/>
      <c r="H56" s="526"/>
      <c r="I56" s="458"/>
    </row>
    <row r="57" spans="1:9" ht="15.95" customHeight="1">
      <c r="A57" s="455">
        <f t="shared" si="0"/>
        <v>49</v>
      </c>
      <c r="B57" s="527"/>
      <c r="C57" s="471"/>
      <c r="D57" s="472"/>
      <c r="E57" s="472"/>
      <c r="F57" s="472"/>
      <c r="G57" s="472"/>
      <c r="H57" s="526"/>
      <c r="I57" s="458"/>
    </row>
    <row r="58" spans="1:9" ht="15.95" customHeight="1">
      <c r="A58" s="455">
        <f t="shared" si="0"/>
        <v>50</v>
      </c>
      <c r="B58" s="527"/>
      <c r="C58" s="471"/>
      <c r="D58" s="472"/>
      <c r="E58" s="472"/>
      <c r="F58" s="472"/>
      <c r="G58" s="472"/>
      <c r="H58" s="526"/>
      <c r="I58" s="458"/>
    </row>
    <row r="59" spans="1:9" ht="15.95" customHeight="1">
      <c r="A59" s="455">
        <f t="shared" si="0"/>
        <v>51</v>
      </c>
      <c r="B59" s="527"/>
      <c r="C59" s="525"/>
      <c r="D59" s="525"/>
      <c r="E59" s="525"/>
      <c r="F59" s="525"/>
      <c r="G59" s="525"/>
      <c r="H59" s="526"/>
      <c r="I59" s="458"/>
    </row>
    <row r="60" spans="1:9" ht="15.95" customHeight="1">
      <c r="A60" s="455">
        <f t="shared" si="0"/>
        <v>52</v>
      </c>
      <c r="B60" s="527"/>
      <c r="C60" s="525"/>
      <c r="D60" s="525"/>
      <c r="E60" s="525"/>
      <c r="F60" s="525"/>
      <c r="G60" s="525"/>
      <c r="H60" s="526"/>
      <c r="I60" s="458"/>
    </row>
    <row r="61" spans="1:9" ht="15.95" customHeight="1">
      <c r="A61" s="455">
        <f t="shared" si="0"/>
        <v>53</v>
      </c>
      <c r="B61" s="538"/>
      <c r="C61" s="539"/>
      <c r="D61" s="539"/>
      <c r="E61" s="539"/>
      <c r="F61" s="539"/>
      <c r="G61" s="539"/>
      <c r="H61" s="526"/>
      <c r="I61" s="458"/>
    </row>
    <row r="62" spans="1:9" ht="15.95" customHeight="1">
      <c r="A62" s="455">
        <f t="shared" si="0"/>
        <v>54</v>
      </c>
      <c r="B62" s="540"/>
      <c r="C62" s="539"/>
      <c r="D62" s="539"/>
      <c r="E62" s="539"/>
      <c r="F62" s="539"/>
      <c r="G62" s="539"/>
      <c r="H62" s="526"/>
      <c r="I62" s="458"/>
    </row>
    <row r="63" spans="1:9" ht="15.95" customHeight="1">
      <c r="A63" s="455">
        <f t="shared" si="0"/>
        <v>55</v>
      </c>
      <c r="B63" s="540"/>
      <c r="C63" s="539"/>
      <c r="D63" s="539"/>
      <c r="E63" s="539"/>
      <c r="F63" s="539"/>
      <c r="G63" s="539"/>
      <c r="H63" s="526"/>
      <c r="I63" s="458"/>
    </row>
    <row r="64" spans="1:9" ht="15.95" customHeight="1">
      <c r="A64" s="455">
        <f t="shared" si="0"/>
        <v>56</v>
      </c>
      <c r="B64" s="560" t="s">
        <v>353</v>
      </c>
      <c r="C64" s="541">
        <f>SUBTOTAL(9,C56:C63)</f>
        <v>0</v>
      </c>
      <c r="D64" s="541">
        <f>SUM(D56:D63)</f>
        <v>0</v>
      </c>
      <c r="E64" s="541">
        <f>SUM(E56:E63)</f>
        <v>0</v>
      </c>
      <c r="F64" s="541">
        <f>SUM(F56:F63)</f>
        <v>0</v>
      </c>
      <c r="G64" s="541">
        <f>SUM(G56:G63)</f>
        <v>0</v>
      </c>
      <c r="H64" s="529"/>
      <c r="I64" s="458"/>
    </row>
    <row r="65" spans="1:9" ht="15.95" customHeight="1">
      <c r="A65" s="455">
        <f t="shared" si="0"/>
        <v>57</v>
      </c>
      <c r="B65" s="561" t="s">
        <v>346</v>
      </c>
      <c r="C65" s="530"/>
      <c r="D65" s="530"/>
      <c r="E65" s="530"/>
      <c r="F65" s="530"/>
      <c r="G65" s="530"/>
      <c r="H65" s="526"/>
      <c r="I65" s="458"/>
    </row>
    <row r="66" spans="1:9" ht="15.95" customHeight="1">
      <c r="A66" s="455">
        <f t="shared" si="0"/>
        <v>58</v>
      </c>
      <c r="B66" s="562" t="s">
        <v>347</v>
      </c>
      <c r="C66" s="533"/>
      <c r="D66" s="533"/>
      <c r="E66" s="533"/>
      <c r="F66" s="533"/>
      <c r="G66" s="533"/>
      <c r="H66" s="534"/>
      <c r="I66" s="458"/>
    </row>
    <row r="67" spans="1:9" ht="15.95" customHeight="1" thickBot="1">
      <c r="A67" s="455">
        <f t="shared" si="0"/>
        <v>59</v>
      </c>
      <c r="B67" s="556" t="s">
        <v>20</v>
      </c>
      <c r="C67" s="557">
        <f>+C64-C65-C66</f>
        <v>0</v>
      </c>
      <c r="D67" s="557">
        <f>+D64-D65-D66</f>
        <v>0</v>
      </c>
      <c r="E67" s="557">
        <f>+E64-E65-E66</f>
        <v>0</v>
      </c>
      <c r="F67" s="557">
        <f>+F64-F65-F66</f>
        <v>0</v>
      </c>
      <c r="G67" s="557">
        <f>+G64-G65-G66</f>
        <v>0</v>
      </c>
      <c r="H67" s="558"/>
      <c r="I67" s="458"/>
    </row>
    <row r="68" spans="1:9" ht="15.95" customHeight="1" thickTop="1">
      <c r="A68" s="455">
        <f t="shared" si="0"/>
        <v>60</v>
      </c>
      <c r="B68" s="537"/>
      <c r="C68" s="535"/>
      <c r="D68" s="542"/>
      <c r="E68" s="543"/>
      <c r="F68" s="544"/>
      <c r="G68" s="545"/>
      <c r="H68" s="536"/>
      <c r="I68" s="458"/>
    </row>
    <row r="69" spans="1:9" ht="15.95" customHeight="1">
      <c r="A69" s="455">
        <f t="shared" si="0"/>
        <v>61</v>
      </c>
      <c r="B69" s="542" t="s">
        <v>354</v>
      </c>
      <c r="C69" s="542"/>
      <c r="D69" s="544"/>
      <c r="E69" s="545"/>
      <c r="F69" s="535"/>
      <c r="G69" s="536"/>
      <c r="H69" s="535"/>
    </row>
    <row r="70" spans="1:9" ht="15.95" customHeight="1">
      <c r="A70" s="455">
        <f t="shared" si="0"/>
        <v>62</v>
      </c>
      <c r="B70" s="1722" t="s">
        <v>349</v>
      </c>
      <c r="C70" s="1723"/>
      <c r="D70" s="1723"/>
      <c r="E70" s="1723"/>
      <c r="F70" s="1723"/>
      <c r="G70" s="1723"/>
      <c r="H70" s="535"/>
    </row>
    <row r="71" spans="1:9" ht="15.95" customHeight="1">
      <c r="A71" s="455">
        <f t="shared" si="0"/>
        <v>63</v>
      </c>
      <c r="B71" s="550" t="s">
        <v>350</v>
      </c>
      <c r="C71" s="535"/>
      <c r="D71" s="542"/>
      <c r="E71" s="542"/>
      <c r="F71" s="544"/>
      <c r="G71" s="544"/>
      <c r="H71" s="535"/>
    </row>
    <row r="72" spans="1:9" ht="15.95" customHeight="1">
      <c r="A72" s="455">
        <f t="shared" si="0"/>
        <v>64</v>
      </c>
      <c r="B72" s="550" t="s">
        <v>351</v>
      </c>
      <c r="C72" s="535"/>
      <c r="D72" s="542"/>
      <c r="E72" s="542"/>
      <c r="F72" s="544"/>
      <c r="G72" s="544"/>
      <c r="H72" s="535"/>
    </row>
    <row r="73" spans="1:9" ht="15.95" customHeight="1">
      <c r="A73" s="455">
        <f t="shared" si="0"/>
        <v>65</v>
      </c>
      <c r="B73" s="550" t="s">
        <v>352</v>
      </c>
      <c r="C73" s="535"/>
      <c r="D73" s="542"/>
      <c r="E73" s="542"/>
      <c r="F73" s="544"/>
      <c r="G73" s="544"/>
      <c r="H73" s="535"/>
    </row>
    <row r="74" spans="1:9" ht="35.1" customHeight="1">
      <c r="A74" s="455">
        <f t="shared" si="0"/>
        <v>66</v>
      </c>
      <c r="B74" s="1722" t="s">
        <v>577</v>
      </c>
      <c r="C74" s="1722"/>
      <c r="D74" s="1722"/>
      <c r="E74" s="1722"/>
      <c r="F74" s="1722"/>
      <c r="G74" s="1722"/>
      <c r="H74" s="536"/>
    </row>
    <row r="75" spans="1:9" s="674" customFormat="1" ht="24.95" customHeight="1">
      <c r="A75" s="455">
        <f t="shared" ref="A75:A102" si="1">+A74+1</f>
        <v>67</v>
      </c>
      <c r="B75" s="1720" t="str">
        <f>+B47</f>
        <v>MidAmerican Central California Transco, LLC</v>
      </c>
      <c r="C75" s="1721"/>
      <c r="D75" s="1721"/>
      <c r="E75" s="1721"/>
      <c r="F75" s="1721"/>
      <c r="G75" s="1721"/>
      <c r="H75" s="1721"/>
      <c r="I75" s="675"/>
    </row>
    <row r="76" spans="1:9" s="674" customFormat="1" ht="24.95" customHeight="1">
      <c r="A76" s="455">
        <f t="shared" si="1"/>
        <v>68</v>
      </c>
      <c r="B76" s="1720" t="s">
        <v>357</v>
      </c>
      <c r="C76" s="1720"/>
      <c r="D76" s="1720"/>
      <c r="E76" s="1720"/>
      <c r="F76" s="1720"/>
      <c r="G76" s="1720"/>
      <c r="H76" s="1720"/>
      <c r="I76" s="675"/>
    </row>
    <row r="77" spans="1:9" s="674" customFormat="1" ht="24.95" customHeight="1">
      <c r="A77" s="455">
        <f t="shared" si="1"/>
        <v>69</v>
      </c>
      <c r="B77" s="1720" t="s">
        <v>198</v>
      </c>
      <c r="C77" s="1720"/>
      <c r="D77" s="1720"/>
      <c r="E77" s="1720"/>
      <c r="F77" s="1720"/>
      <c r="G77" s="1720"/>
      <c r="H77" s="1720"/>
      <c r="I77" s="675"/>
    </row>
    <row r="78" spans="1:9" s="455" customFormat="1" ht="24.95" customHeight="1">
      <c r="A78" s="455">
        <f t="shared" si="1"/>
        <v>70</v>
      </c>
      <c r="B78" s="550"/>
      <c r="C78" s="542"/>
      <c r="D78" s="542"/>
      <c r="E78" s="542"/>
      <c r="F78" s="542"/>
      <c r="G78" s="542"/>
      <c r="H78" s="536"/>
      <c r="I78" s="460"/>
    </row>
    <row r="79" spans="1:9" s="455" customFormat="1" ht="18">
      <c r="A79" s="455">
        <f t="shared" si="1"/>
        <v>71</v>
      </c>
      <c r="B79" s="498" t="s">
        <v>76</v>
      </c>
      <c r="C79" s="498" t="s">
        <v>77</v>
      </c>
      <c r="D79" s="498" t="s">
        <v>78</v>
      </c>
      <c r="E79" s="498" t="s">
        <v>79</v>
      </c>
      <c r="F79" s="498" t="s">
        <v>80</v>
      </c>
      <c r="G79" s="498" t="s">
        <v>81</v>
      </c>
      <c r="H79" s="498" t="s">
        <v>83</v>
      </c>
      <c r="I79" s="460"/>
    </row>
    <row r="80" spans="1:9" s="455" customFormat="1" ht="18">
      <c r="A80" s="455">
        <f t="shared" si="1"/>
        <v>72</v>
      </c>
      <c r="B80" s="498"/>
      <c r="C80" s="499" t="s">
        <v>20</v>
      </c>
      <c r="D80" s="499" t="s">
        <v>342</v>
      </c>
      <c r="E80" s="498"/>
      <c r="F80" s="498"/>
      <c r="G80" s="498"/>
      <c r="H80" s="498"/>
      <c r="I80" s="460"/>
    </row>
    <row r="81" spans="1:9" s="455" customFormat="1" ht="18">
      <c r="A81" s="455">
        <f t="shared" si="1"/>
        <v>73</v>
      </c>
      <c r="B81" s="542" t="s">
        <v>360</v>
      </c>
      <c r="C81" s="499"/>
      <c r="D81" s="499" t="s">
        <v>343</v>
      </c>
      <c r="E81" s="499" t="s">
        <v>25</v>
      </c>
      <c r="F81" s="499" t="s">
        <v>330</v>
      </c>
      <c r="G81" s="499" t="s">
        <v>325</v>
      </c>
      <c r="H81" s="498"/>
      <c r="I81" s="460"/>
    </row>
    <row r="82" spans="1:9" s="455" customFormat="1" ht="18">
      <c r="A82" s="455">
        <f t="shared" si="1"/>
        <v>74</v>
      </c>
      <c r="B82" s="542"/>
      <c r="C82" s="499"/>
      <c r="D82" s="499" t="s">
        <v>331</v>
      </c>
      <c r="E82" s="499" t="s">
        <v>331</v>
      </c>
      <c r="F82" s="499" t="s">
        <v>331</v>
      </c>
      <c r="G82" s="499" t="s">
        <v>331</v>
      </c>
      <c r="H82" s="518"/>
      <c r="I82" s="460"/>
    </row>
    <row r="83" spans="1:9" ht="35.1" customHeight="1">
      <c r="A83" s="455">
        <f t="shared" si="1"/>
        <v>75</v>
      </c>
      <c r="B83" s="1499" t="s">
        <v>1080</v>
      </c>
      <c r="C83" s="1502">
        <v>-552588</v>
      </c>
      <c r="D83" s="472"/>
      <c r="E83" s="1503">
        <v>-552588</v>
      </c>
      <c r="F83" s="472"/>
      <c r="G83" s="472"/>
      <c r="H83" s="526" t="s">
        <v>1204</v>
      </c>
      <c r="I83" s="458"/>
    </row>
    <row r="84" spans="1:9" ht="35.1" customHeight="1">
      <c r="A84" s="455">
        <f t="shared" si="1"/>
        <v>76</v>
      </c>
      <c r="B84" s="527" t="s">
        <v>1189</v>
      </c>
      <c r="C84" s="471">
        <v>-1612570</v>
      </c>
      <c r="D84" s="472"/>
      <c r="E84" s="472">
        <v>-1612570</v>
      </c>
      <c r="F84" s="472"/>
      <c r="G84" s="472"/>
      <c r="H84" s="526" t="s">
        <v>1205</v>
      </c>
      <c r="I84" s="458"/>
    </row>
    <row r="85" spans="1:9" ht="35.1" customHeight="1">
      <c r="A85" s="455">
        <f t="shared" si="1"/>
        <v>77</v>
      </c>
      <c r="B85" s="527" t="s">
        <v>1190</v>
      </c>
      <c r="C85" s="471">
        <v>-276527</v>
      </c>
      <c r="D85" s="472"/>
      <c r="E85" s="472">
        <v>-276527</v>
      </c>
      <c r="F85" s="472"/>
      <c r="G85" s="472"/>
      <c r="H85" s="526" t="s">
        <v>1087</v>
      </c>
      <c r="I85" s="458"/>
    </row>
    <row r="86" spans="1:9" ht="15.95" customHeight="1">
      <c r="A86" s="455">
        <f t="shared" si="1"/>
        <v>78</v>
      </c>
      <c r="B86" s="527"/>
      <c r="C86" s="471"/>
      <c r="D86" s="472"/>
      <c r="E86" s="472"/>
      <c r="F86" s="472"/>
      <c r="G86" s="472"/>
      <c r="H86" s="526"/>
      <c r="I86" s="458"/>
    </row>
    <row r="87" spans="1:9" ht="15.95" customHeight="1">
      <c r="A87" s="455">
        <f t="shared" si="1"/>
        <v>79</v>
      </c>
      <c r="B87" s="527"/>
      <c r="C87" s="525"/>
      <c r="D87" s="539"/>
      <c r="E87" s="525"/>
      <c r="F87" s="525"/>
      <c r="G87" s="525"/>
      <c r="H87" s="526"/>
      <c r="I87" s="458"/>
    </row>
    <row r="88" spans="1:9" ht="15.95" customHeight="1">
      <c r="A88" s="455">
        <f t="shared" si="1"/>
        <v>80</v>
      </c>
      <c r="B88" s="527"/>
      <c r="C88" s="525"/>
      <c r="D88" s="539"/>
      <c r="E88" s="525"/>
      <c r="F88" s="525"/>
      <c r="G88" s="525"/>
      <c r="H88" s="526"/>
      <c r="I88" s="458"/>
    </row>
    <row r="89" spans="1:9" ht="15.95" customHeight="1">
      <c r="A89" s="455">
        <f t="shared" si="1"/>
        <v>81</v>
      </c>
      <c r="B89" s="527"/>
      <c r="C89" s="525"/>
      <c r="D89" s="539"/>
      <c r="E89" s="525"/>
      <c r="F89" s="525"/>
      <c r="G89" s="525"/>
      <c r="H89" s="526"/>
      <c r="I89" s="458"/>
    </row>
    <row r="90" spans="1:9" ht="15.95" customHeight="1">
      <c r="A90" s="455">
        <f t="shared" si="1"/>
        <v>82</v>
      </c>
      <c r="B90" s="527"/>
      <c r="C90" s="525"/>
      <c r="D90" s="528"/>
      <c r="E90" s="525"/>
      <c r="F90" s="525"/>
      <c r="G90" s="525"/>
      <c r="H90" s="526"/>
      <c r="I90" s="458"/>
    </row>
    <row r="91" spans="1:9" ht="15.95" customHeight="1">
      <c r="A91" s="455">
        <f t="shared" si="1"/>
        <v>83</v>
      </c>
      <c r="B91" s="527"/>
      <c r="C91" s="525"/>
      <c r="D91" s="525"/>
      <c r="E91" s="525"/>
      <c r="F91" s="525"/>
      <c r="G91" s="525"/>
      <c r="H91" s="526"/>
      <c r="I91" s="458"/>
    </row>
    <row r="92" spans="1:9" ht="15.95" customHeight="1">
      <c r="A92" s="455">
        <f t="shared" si="1"/>
        <v>84</v>
      </c>
      <c r="B92" s="527"/>
      <c r="C92" s="525"/>
      <c r="D92" s="525"/>
      <c r="E92" s="525"/>
      <c r="F92" s="525"/>
      <c r="G92" s="525"/>
      <c r="H92" s="526"/>
      <c r="I92" s="458"/>
    </row>
    <row r="93" spans="1:9" ht="15.95" customHeight="1">
      <c r="A93" s="455">
        <f t="shared" si="1"/>
        <v>85</v>
      </c>
      <c r="B93" s="563" t="s">
        <v>355</v>
      </c>
      <c r="C93" s="553">
        <f>SUBTOTAL(9,C83:C92)</f>
        <v>-2441685</v>
      </c>
      <c r="D93" s="553">
        <f>SUM(D83:D92)</f>
        <v>0</v>
      </c>
      <c r="E93" s="553">
        <f>SUM(E83:E92)</f>
        <v>-2441685</v>
      </c>
      <c r="F93" s="553">
        <f>SUM(F83:F92)</f>
        <v>0</v>
      </c>
      <c r="G93" s="553">
        <f>SUM(G83:G92)</f>
        <v>0</v>
      </c>
      <c r="H93" s="526"/>
      <c r="I93" s="458"/>
    </row>
    <row r="94" spans="1:9" ht="20.100000000000001" customHeight="1">
      <c r="A94" s="455">
        <f t="shared" si="1"/>
        <v>86</v>
      </c>
      <c r="B94" s="564" t="s">
        <v>346</v>
      </c>
      <c r="C94" s="531"/>
      <c r="D94" s="531"/>
      <c r="E94" s="531"/>
      <c r="F94" s="531"/>
      <c r="G94" s="531"/>
      <c r="H94" s="526"/>
      <c r="I94" s="458"/>
    </row>
    <row r="95" spans="1:9" ht="20.100000000000001" customHeight="1">
      <c r="A95" s="455">
        <f t="shared" si="1"/>
        <v>87</v>
      </c>
      <c r="B95" s="565" t="s">
        <v>347</v>
      </c>
      <c r="C95" s="546"/>
      <c r="D95" s="546"/>
      <c r="E95" s="546"/>
      <c r="F95" s="546"/>
      <c r="G95" s="546"/>
      <c r="H95" s="534"/>
      <c r="I95" s="458"/>
    </row>
    <row r="96" spans="1:9" ht="20.100000000000001" customHeight="1" thickBot="1">
      <c r="A96" s="455">
        <f t="shared" si="1"/>
        <v>88</v>
      </c>
      <c r="B96" s="556" t="s">
        <v>20</v>
      </c>
      <c r="C96" s="566">
        <f>+C93-C94-C95</f>
        <v>-2441685</v>
      </c>
      <c r="D96" s="566">
        <f>+D93-D94-D95</f>
        <v>0</v>
      </c>
      <c r="E96" s="566">
        <f>+E93-E94-E95</f>
        <v>-2441685</v>
      </c>
      <c r="F96" s="566">
        <f>+F93-F94-F95</f>
        <v>0</v>
      </c>
      <c r="G96" s="566">
        <f>+G93-G94-G95</f>
        <v>0</v>
      </c>
      <c r="H96" s="558"/>
      <c r="I96" s="458"/>
    </row>
    <row r="97" spans="1:9" ht="35.1" customHeight="1" thickTop="1">
      <c r="A97" s="455">
        <f t="shared" si="1"/>
        <v>89</v>
      </c>
      <c r="B97" s="542" t="s">
        <v>356</v>
      </c>
      <c r="C97" s="542"/>
      <c r="D97" s="542"/>
      <c r="E97" s="544"/>
      <c r="F97" s="544"/>
      <c r="G97" s="535"/>
      <c r="H97" s="547"/>
      <c r="I97" s="458"/>
    </row>
    <row r="98" spans="1:9" ht="20.100000000000001" customHeight="1">
      <c r="A98" s="455">
        <f t="shared" si="1"/>
        <v>90</v>
      </c>
      <c r="B98" s="1722" t="s">
        <v>349</v>
      </c>
      <c r="C98" s="1723"/>
      <c r="D98" s="1723"/>
      <c r="E98" s="1723"/>
      <c r="F98" s="1723"/>
      <c r="G98" s="1723"/>
      <c r="H98" s="535"/>
    </row>
    <row r="99" spans="1:9" ht="20.100000000000001" customHeight="1">
      <c r="A99" s="455">
        <f t="shared" si="1"/>
        <v>91</v>
      </c>
      <c r="B99" s="550" t="s">
        <v>350</v>
      </c>
      <c r="C99" s="535"/>
      <c r="D99" s="542"/>
      <c r="E99" s="542"/>
      <c r="F99" s="544"/>
      <c r="G99" s="544"/>
      <c r="H99" s="535"/>
    </row>
    <row r="100" spans="1:9" ht="20.100000000000001" customHeight="1">
      <c r="A100" s="455">
        <f t="shared" si="1"/>
        <v>92</v>
      </c>
      <c r="B100" s="550" t="s">
        <v>351</v>
      </c>
      <c r="C100" s="535"/>
      <c r="D100" s="542"/>
      <c r="E100" s="542"/>
      <c r="F100" s="544"/>
      <c r="G100" s="544"/>
      <c r="H100" s="535"/>
    </row>
    <row r="101" spans="1:9" ht="20.100000000000001" customHeight="1">
      <c r="A101" s="455">
        <f t="shared" si="1"/>
        <v>93</v>
      </c>
      <c r="B101" s="550" t="s">
        <v>352</v>
      </c>
      <c r="C101" s="535"/>
      <c r="D101" s="542"/>
      <c r="E101" s="542"/>
      <c r="F101" s="544"/>
      <c r="G101" s="544"/>
      <c r="H101" s="535"/>
    </row>
    <row r="102" spans="1:9" ht="35.1" customHeight="1">
      <c r="A102" s="455">
        <f t="shared" si="1"/>
        <v>94</v>
      </c>
      <c r="B102" s="1722" t="s">
        <v>577</v>
      </c>
      <c r="C102" s="1722"/>
      <c r="D102" s="1722"/>
      <c r="E102" s="1722"/>
      <c r="F102" s="1722"/>
      <c r="G102" s="1722"/>
      <c r="H102" s="535"/>
    </row>
    <row r="103" spans="1:9" ht="18">
      <c r="B103" s="537"/>
      <c r="C103" s="535"/>
      <c r="D103" s="535"/>
      <c r="E103" s="535"/>
      <c r="F103" s="535"/>
      <c r="G103" s="535"/>
      <c r="H103" s="535"/>
      <c r="I103" s="458"/>
    </row>
    <row r="104" spans="1:9" ht="15.75" customHeight="1">
      <c r="B104" s="549"/>
      <c r="C104" s="549"/>
      <c r="D104" s="549"/>
      <c r="E104" s="549"/>
      <c r="F104" s="549"/>
      <c r="G104" s="549"/>
      <c r="H104" s="549"/>
      <c r="I104" s="458"/>
    </row>
    <row r="105" spans="1:9" ht="18">
      <c r="B105" s="1719"/>
      <c r="C105" s="1719"/>
      <c r="D105" s="1719"/>
      <c r="E105" s="1719"/>
      <c r="F105" s="1719"/>
      <c r="G105" s="1719"/>
      <c r="H105" s="1719"/>
      <c r="I105" s="459"/>
    </row>
    <row r="106" spans="1:9" ht="18">
      <c r="B106" s="542"/>
      <c r="C106" s="542"/>
      <c r="D106" s="542"/>
      <c r="E106" s="542"/>
      <c r="F106" s="542"/>
      <c r="G106" s="542"/>
      <c r="H106" s="542"/>
      <c r="I106" s="458"/>
    </row>
    <row r="107" spans="1:9" ht="18">
      <c r="B107" s="542"/>
      <c r="C107" s="542"/>
      <c r="D107" s="542"/>
      <c r="E107" s="542"/>
      <c r="F107" s="542"/>
      <c r="G107" s="542"/>
      <c r="H107" s="542"/>
      <c r="I107" s="458"/>
    </row>
    <row r="108" spans="1:9" ht="15.75" customHeight="1">
      <c r="B108" s="542"/>
      <c r="C108" s="542"/>
      <c r="D108" s="542"/>
      <c r="E108" s="542"/>
      <c r="F108" s="542"/>
      <c r="G108" s="542"/>
      <c r="H108" s="542"/>
      <c r="I108" s="458"/>
    </row>
    <row r="109" spans="1:9" ht="18">
      <c r="B109" s="542"/>
      <c r="C109" s="542"/>
      <c r="D109" s="567"/>
      <c r="E109" s="567"/>
      <c r="F109" s="567"/>
      <c r="G109" s="567"/>
      <c r="H109" s="567"/>
      <c r="I109" s="461"/>
    </row>
    <row r="110" spans="1:9" ht="18">
      <c r="B110" s="542"/>
      <c r="C110" s="542"/>
      <c r="D110" s="567"/>
      <c r="E110" s="567"/>
      <c r="F110" s="567"/>
      <c r="G110" s="567"/>
      <c r="H110" s="567"/>
      <c r="I110" s="461"/>
    </row>
    <row r="111" spans="1:9" ht="18">
      <c r="B111" s="550"/>
      <c r="C111" s="542"/>
      <c r="D111" s="544"/>
      <c r="E111" s="544"/>
      <c r="F111" s="542"/>
      <c r="G111" s="542"/>
      <c r="H111" s="542"/>
      <c r="I111" s="458"/>
    </row>
    <row r="112" spans="1:9" ht="18">
      <c r="B112" s="550"/>
      <c r="C112" s="542"/>
      <c r="D112" s="551"/>
      <c r="E112" s="551"/>
      <c r="F112" s="542"/>
      <c r="G112" s="542"/>
      <c r="H112" s="542"/>
      <c r="I112" s="458"/>
    </row>
    <row r="113" spans="2:9" ht="18">
      <c r="B113" s="550"/>
      <c r="C113" s="542"/>
      <c r="D113" s="551"/>
      <c r="E113" s="551"/>
      <c r="F113" s="542"/>
      <c r="G113" s="542"/>
      <c r="H113" s="542"/>
      <c r="I113" s="458"/>
    </row>
    <row r="114" spans="2:9" ht="18">
      <c r="B114" s="550"/>
      <c r="C114" s="542"/>
      <c r="D114" s="551"/>
      <c r="E114" s="551"/>
      <c r="F114" s="542"/>
      <c r="G114" s="542"/>
      <c r="H114" s="542"/>
      <c r="I114" s="458"/>
    </row>
    <row r="115" spans="2:9" ht="18">
      <c r="B115" s="550"/>
      <c r="C115" s="542"/>
      <c r="D115" s="551"/>
      <c r="E115" s="551"/>
      <c r="F115" s="542"/>
      <c r="G115" s="542"/>
      <c r="H115" s="542"/>
      <c r="I115" s="458"/>
    </row>
    <row r="116" spans="2:9" ht="18">
      <c r="B116" s="550"/>
      <c r="C116" s="542"/>
      <c r="D116" s="551"/>
      <c r="E116" s="551"/>
      <c r="F116" s="542"/>
      <c r="G116" s="542"/>
      <c r="H116" s="542"/>
      <c r="I116" s="458"/>
    </row>
    <row r="117" spans="2:9" ht="18">
      <c r="B117" s="550"/>
      <c r="C117" s="542"/>
      <c r="D117" s="551"/>
      <c r="E117" s="551"/>
      <c r="F117" s="542"/>
      <c r="G117" s="542"/>
      <c r="H117" s="542"/>
      <c r="I117" s="458"/>
    </row>
    <row r="118" spans="2:9" ht="18">
      <c r="B118" s="550"/>
      <c r="C118" s="542"/>
      <c r="D118" s="551"/>
      <c r="E118" s="551"/>
      <c r="F118" s="542"/>
      <c r="G118" s="542"/>
      <c r="H118" s="542"/>
      <c r="I118" s="458"/>
    </row>
    <row r="119" spans="2:9" ht="18">
      <c r="B119" s="550"/>
      <c r="C119" s="542"/>
      <c r="D119" s="551"/>
      <c r="E119" s="551"/>
      <c r="F119" s="542"/>
      <c r="G119" s="542"/>
      <c r="H119" s="542"/>
      <c r="I119" s="458"/>
    </row>
    <row r="120" spans="2:9" ht="18">
      <c r="B120" s="550"/>
      <c r="C120" s="542"/>
      <c r="D120" s="551"/>
      <c r="E120" s="551"/>
      <c r="F120" s="542"/>
      <c r="G120" s="542"/>
      <c r="H120" s="542"/>
      <c r="I120" s="458"/>
    </row>
    <row r="121" spans="2:9" ht="18">
      <c r="B121" s="550"/>
      <c r="C121" s="542"/>
      <c r="D121" s="551"/>
      <c r="E121" s="551"/>
      <c r="F121" s="542"/>
      <c r="G121" s="542"/>
      <c r="H121" s="542"/>
      <c r="I121" s="458"/>
    </row>
    <row r="122" spans="2:9" ht="18">
      <c r="B122" s="542"/>
      <c r="C122" s="542"/>
      <c r="D122" s="551"/>
      <c r="E122" s="551"/>
      <c r="F122" s="542"/>
      <c r="G122" s="542"/>
      <c r="H122" s="542"/>
      <c r="I122" s="458"/>
    </row>
    <row r="123" spans="2:9" ht="18">
      <c r="B123" s="550"/>
      <c r="C123" s="542"/>
      <c r="D123" s="551"/>
      <c r="E123" s="551"/>
      <c r="F123" s="542"/>
      <c r="G123" s="542"/>
      <c r="H123" s="542"/>
      <c r="I123" s="458"/>
    </row>
    <row r="124" spans="2:9" ht="18">
      <c r="B124" s="542"/>
      <c r="C124" s="542"/>
      <c r="D124" s="551"/>
      <c r="E124" s="551"/>
      <c r="F124" s="542"/>
      <c r="G124" s="542"/>
      <c r="H124" s="542"/>
      <c r="I124" s="458"/>
    </row>
    <row r="125" spans="2:9" ht="18">
      <c r="B125" s="550"/>
      <c r="C125" s="542"/>
      <c r="D125" s="542"/>
      <c r="E125" s="542"/>
      <c r="F125" s="542"/>
      <c r="G125" s="542"/>
      <c r="H125" s="542"/>
      <c r="I125" s="458"/>
    </row>
    <row r="126" spans="2:9" ht="18">
      <c r="B126" s="550"/>
      <c r="C126" s="542"/>
      <c r="D126" s="542"/>
      <c r="E126" s="542"/>
      <c r="F126" s="542"/>
      <c r="G126" s="542"/>
      <c r="H126" s="542"/>
    </row>
    <row r="127" spans="2:9" ht="18">
      <c r="B127" s="550"/>
      <c r="C127" s="542"/>
      <c r="D127" s="542"/>
      <c r="E127" s="542"/>
      <c r="F127" s="542"/>
      <c r="G127" s="542"/>
      <c r="H127" s="542"/>
    </row>
    <row r="128" spans="2:9" ht="18">
      <c r="B128" s="550"/>
      <c r="C128" s="542"/>
      <c r="D128" s="542"/>
      <c r="E128" s="542"/>
      <c r="F128" s="542"/>
      <c r="G128" s="542"/>
      <c r="H128" s="542"/>
    </row>
    <row r="129" spans="2:8" ht="18">
      <c r="B129" s="550"/>
      <c r="C129" s="542"/>
      <c r="D129" s="542"/>
      <c r="E129" s="542"/>
      <c r="F129" s="542"/>
      <c r="G129" s="542"/>
      <c r="H129" s="542"/>
    </row>
    <row r="130" spans="2:8" ht="18">
      <c r="B130" s="550"/>
      <c r="C130" s="542"/>
      <c r="D130" s="542"/>
      <c r="E130" s="542"/>
      <c r="F130" s="542"/>
      <c r="G130" s="542"/>
      <c r="H130" s="542"/>
    </row>
    <row r="131" spans="2:8" ht="18">
      <c r="B131" s="550"/>
      <c r="C131" s="542"/>
      <c r="D131" s="542"/>
      <c r="E131" s="542"/>
      <c r="F131" s="542"/>
      <c r="G131" s="542"/>
      <c r="H131" s="542"/>
    </row>
    <row r="132" spans="2:8" ht="18">
      <c r="B132" s="550"/>
      <c r="C132" s="542"/>
      <c r="D132" s="542"/>
      <c r="E132" s="542"/>
      <c r="F132" s="542"/>
      <c r="G132" s="542"/>
      <c r="H132" s="542"/>
    </row>
    <row r="133" spans="2:8" ht="18">
      <c r="B133" s="550"/>
      <c r="C133" s="542"/>
      <c r="D133" s="542"/>
      <c r="E133" s="542"/>
      <c r="F133" s="542"/>
      <c r="G133" s="542"/>
      <c r="H133" s="542"/>
    </row>
    <row r="134" spans="2:8" ht="18">
      <c r="B134" s="550"/>
      <c r="C134" s="542"/>
      <c r="D134" s="542"/>
      <c r="E134" s="542"/>
      <c r="F134" s="542"/>
      <c r="G134" s="542"/>
      <c r="H134" s="542"/>
    </row>
    <row r="135" spans="2:8" ht="18">
      <c r="B135" s="550"/>
      <c r="C135" s="542"/>
      <c r="D135" s="542"/>
      <c r="E135" s="542"/>
      <c r="F135" s="542"/>
      <c r="G135" s="542"/>
      <c r="H135" s="542"/>
    </row>
    <row r="136" spans="2:8" ht="18">
      <c r="B136" s="550"/>
      <c r="C136" s="542"/>
      <c r="D136" s="542"/>
      <c r="E136" s="542"/>
      <c r="F136" s="542"/>
      <c r="G136" s="542"/>
      <c r="H136" s="542"/>
    </row>
    <row r="137" spans="2:8" ht="18">
      <c r="B137" s="550"/>
      <c r="C137" s="542"/>
      <c r="D137" s="542"/>
      <c r="E137" s="542"/>
      <c r="F137" s="542"/>
      <c r="G137" s="542"/>
      <c r="H137" s="542"/>
    </row>
    <row r="138" spans="2:8" ht="18">
      <c r="B138" s="550"/>
      <c r="C138" s="542"/>
      <c r="D138" s="542"/>
      <c r="E138" s="542"/>
      <c r="F138" s="542"/>
      <c r="G138" s="542"/>
      <c r="H138" s="542"/>
    </row>
    <row r="139" spans="2:8" ht="18">
      <c r="B139" s="550"/>
      <c r="C139" s="542"/>
      <c r="D139" s="542"/>
      <c r="E139" s="542"/>
      <c r="F139" s="542"/>
      <c r="G139" s="542"/>
      <c r="H139" s="542"/>
    </row>
    <row r="140" spans="2:8" ht="18">
      <c r="B140" s="550"/>
      <c r="C140" s="542"/>
      <c r="D140" s="542"/>
      <c r="E140" s="542"/>
      <c r="F140" s="542"/>
      <c r="G140" s="542"/>
      <c r="H140" s="542"/>
    </row>
    <row r="141" spans="2:8" ht="18">
      <c r="B141" s="550"/>
      <c r="C141" s="542"/>
      <c r="D141" s="542"/>
      <c r="E141" s="542"/>
      <c r="F141" s="542"/>
      <c r="G141" s="542"/>
      <c r="H141" s="542"/>
    </row>
    <row r="142" spans="2:8" ht="18">
      <c r="B142" s="550"/>
      <c r="C142" s="542"/>
      <c r="D142" s="542"/>
      <c r="E142" s="542"/>
      <c r="F142" s="542"/>
      <c r="G142" s="542"/>
      <c r="H142" s="542"/>
    </row>
    <row r="143" spans="2:8" ht="18">
      <c r="B143" s="550"/>
      <c r="C143" s="542"/>
      <c r="D143" s="542"/>
      <c r="E143" s="542"/>
      <c r="F143" s="542"/>
      <c r="G143" s="542"/>
      <c r="H143" s="542"/>
    </row>
    <row r="144" spans="2:8" ht="18">
      <c r="B144" s="550"/>
      <c r="C144" s="542"/>
      <c r="D144" s="542"/>
      <c r="E144" s="542"/>
      <c r="F144" s="542"/>
      <c r="G144" s="542"/>
      <c r="H144" s="542"/>
    </row>
    <row r="145" spans="2:8" ht="18">
      <c r="B145" s="550"/>
      <c r="C145" s="542"/>
      <c r="D145" s="542"/>
      <c r="E145" s="542"/>
      <c r="F145" s="542"/>
      <c r="G145" s="542"/>
      <c r="H145" s="542"/>
    </row>
    <row r="146" spans="2:8" ht="18">
      <c r="B146" s="550"/>
      <c r="C146" s="542"/>
      <c r="D146" s="542"/>
      <c r="E146" s="542"/>
      <c r="F146" s="542"/>
      <c r="G146" s="542"/>
      <c r="H146" s="542"/>
    </row>
    <row r="147" spans="2:8" ht="18">
      <c r="B147" s="550"/>
      <c r="C147" s="542"/>
      <c r="D147" s="542"/>
      <c r="E147" s="542"/>
      <c r="F147" s="542"/>
      <c r="G147" s="542"/>
      <c r="H147" s="542"/>
    </row>
    <row r="148" spans="2:8" ht="18">
      <c r="B148" s="550"/>
      <c r="C148" s="542"/>
      <c r="D148" s="542"/>
      <c r="E148" s="542"/>
      <c r="F148" s="542"/>
      <c r="G148" s="542"/>
      <c r="H148" s="542"/>
    </row>
    <row r="149" spans="2:8" ht="18">
      <c r="B149" s="550"/>
      <c r="C149" s="542"/>
      <c r="D149" s="542"/>
      <c r="E149" s="542"/>
      <c r="F149" s="542"/>
      <c r="G149" s="542"/>
      <c r="H149" s="542"/>
    </row>
    <row r="150" spans="2:8" ht="18">
      <c r="B150" s="550"/>
      <c r="C150" s="542"/>
      <c r="D150" s="542"/>
      <c r="E150" s="542"/>
      <c r="F150" s="542"/>
      <c r="G150" s="542"/>
      <c r="H150" s="542"/>
    </row>
    <row r="151" spans="2:8" ht="18">
      <c r="B151" s="550"/>
      <c r="C151" s="542"/>
      <c r="D151" s="542"/>
      <c r="E151" s="542"/>
      <c r="F151" s="542"/>
      <c r="G151" s="542"/>
      <c r="H151" s="542"/>
    </row>
    <row r="152" spans="2:8" ht="18">
      <c r="B152" s="550"/>
      <c r="C152" s="542"/>
      <c r="D152" s="542"/>
      <c r="E152" s="542"/>
      <c r="F152" s="542"/>
      <c r="G152" s="542"/>
      <c r="H152" s="542"/>
    </row>
    <row r="153" spans="2:8" ht="18">
      <c r="B153" s="550"/>
      <c r="C153" s="542"/>
      <c r="D153" s="542"/>
      <c r="E153" s="542"/>
      <c r="F153" s="542"/>
      <c r="G153" s="542"/>
      <c r="H153" s="542"/>
    </row>
    <row r="154" spans="2:8" ht="18">
      <c r="B154" s="550"/>
      <c r="C154" s="542"/>
      <c r="D154" s="542"/>
      <c r="E154" s="542"/>
      <c r="F154" s="542"/>
      <c r="G154" s="542"/>
      <c r="H154" s="542"/>
    </row>
    <row r="155" spans="2:8" ht="18">
      <c r="B155" s="550"/>
      <c r="C155" s="542"/>
      <c r="D155" s="542"/>
      <c r="E155" s="542"/>
      <c r="F155" s="542"/>
      <c r="G155" s="542"/>
      <c r="H155" s="542"/>
    </row>
    <row r="156" spans="2:8" ht="18">
      <c r="B156" s="550"/>
      <c r="C156" s="542"/>
      <c r="D156" s="542"/>
      <c r="E156" s="542"/>
      <c r="F156" s="542"/>
      <c r="G156" s="542"/>
      <c r="H156" s="542"/>
    </row>
    <row r="157" spans="2:8" ht="18">
      <c r="B157" s="550"/>
      <c r="C157" s="542"/>
      <c r="D157" s="542"/>
      <c r="E157" s="542"/>
      <c r="F157" s="542"/>
      <c r="G157" s="542"/>
      <c r="H157" s="542"/>
    </row>
    <row r="158" spans="2:8" ht="18">
      <c r="B158" s="550"/>
      <c r="C158" s="542"/>
      <c r="D158" s="542"/>
      <c r="E158" s="542"/>
      <c r="F158" s="542"/>
      <c r="G158" s="542"/>
      <c r="H158" s="542"/>
    </row>
    <row r="159" spans="2:8" ht="18">
      <c r="B159" s="550"/>
      <c r="C159" s="542"/>
      <c r="D159" s="542"/>
      <c r="E159" s="542"/>
      <c r="F159" s="542"/>
      <c r="G159" s="542"/>
      <c r="H159" s="542"/>
    </row>
    <row r="160" spans="2:8" ht="18">
      <c r="B160" s="550"/>
      <c r="C160" s="542"/>
      <c r="D160" s="542"/>
      <c r="E160" s="542"/>
      <c r="F160" s="542"/>
      <c r="G160" s="542"/>
      <c r="H160" s="542"/>
    </row>
    <row r="161" spans="2:8" ht="18">
      <c r="B161" s="550"/>
      <c r="C161" s="542"/>
      <c r="D161" s="542"/>
      <c r="E161" s="542"/>
      <c r="F161" s="542"/>
      <c r="G161" s="542"/>
      <c r="H161" s="542"/>
    </row>
    <row r="162" spans="2:8" ht="18">
      <c r="B162" s="550"/>
      <c r="C162" s="542"/>
      <c r="D162" s="542"/>
      <c r="E162" s="542"/>
      <c r="F162" s="542"/>
      <c r="G162" s="542"/>
      <c r="H162" s="542"/>
    </row>
    <row r="163" spans="2:8" ht="18">
      <c r="B163" s="550"/>
      <c r="C163" s="542"/>
      <c r="D163" s="542"/>
      <c r="E163" s="542"/>
      <c r="F163" s="542"/>
      <c r="G163" s="542"/>
      <c r="H163" s="542"/>
    </row>
    <row r="164" spans="2:8" ht="18">
      <c r="B164" s="550"/>
      <c r="C164" s="542"/>
      <c r="D164" s="542"/>
      <c r="E164" s="542"/>
      <c r="F164" s="542"/>
      <c r="G164" s="542"/>
      <c r="H164" s="542"/>
    </row>
    <row r="165" spans="2:8" ht="18">
      <c r="B165" s="550"/>
      <c r="C165" s="542"/>
      <c r="D165" s="542"/>
      <c r="E165" s="542"/>
      <c r="F165" s="542"/>
      <c r="G165" s="542"/>
      <c r="H165" s="542"/>
    </row>
    <row r="166" spans="2:8" ht="18">
      <c r="B166" s="550"/>
      <c r="C166" s="542"/>
      <c r="D166" s="542"/>
      <c r="E166" s="542"/>
      <c r="F166" s="542"/>
      <c r="G166" s="542"/>
      <c r="H166" s="542"/>
    </row>
    <row r="167" spans="2:8" ht="18">
      <c r="B167" s="550"/>
      <c r="C167" s="542"/>
      <c r="D167" s="542"/>
      <c r="E167" s="542"/>
      <c r="F167" s="542"/>
      <c r="G167" s="542"/>
      <c r="H167" s="542"/>
    </row>
    <row r="168" spans="2:8" ht="18">
      <c r="B168" s="550"/>
      <c r="C168" s="542"/>
      <c r="D168" s="542"/>
      <c r="E168" s="542"/>
      <c r="F168" s="542"/>
      <c r="G168" s="542"/>
      <c r="H168" s="542"/>
    </row>
    <row r="169" spans="2:8" ht="18">
      <c r="B169" s="550"/>
      <c r="C169" s="542"/>
      <c r="D169" s="542"/>
      <c r="E169" s="542"/>
      <c r="F169" s="542"/>
      <c r="G169" s="542"/>
      <c r="H169" s="542"/>
    </row>
    <row r="170" spans="2:8" ht="18">
      <c r="B170" s="550"/>
      <c r="C170" s="542"/>
      <c r="D170" s="542"/>
      <c r="E170" s="542"/>
      <c r="F170" s="542"/>
      <c r="G170" s="542"/>
      <c r="H170" s="542"/>
    </row>
    <row r="171" spans="2:8" ht="18">
      <c r="B171" s="550"/>
      <c r="C171" s="542"/>
      <c r="D171" s="542"/>
      <c r="E171" s="542"/>
      <c r="F171" s="542"/>
      <c r="G171" s="542"/>
      <c r="H171" s="542"/>
    </row>
    <row r="172" spans="2:8" ht="18">
      <c r="B172" s="550"/>
      <c r="C172" s="542"/>
      <c r="D172" s="542"/>
      <c r="E172" s="542"/>
      <c r="F172" s="542"/>
      <c r="G172" s="542"/>
      <c r="H172" s="542"/>
    </row>
    <row r="173" spans="2:8" ht="18">
      <c r="B173" s="550"/>
      <c r="C173" s="542"/>
      <c r="D173" s="542"/>
      <c r="E173" s="542"/>
      <c r="F173" s="542"/>
      <c r="G173" s="542"/>
      <c r="H173" s="542"/>
    </row>
    <row r="174" spans="2:8" ht="18">
      <c r="B174" s="550"/>
      <c r="C174" s="542"/>
      <c r="D174" s="542"/>
      <c r="E174" s="542"/>
      <c r="F174" s="542"/>
      <c r="G174" s="542"/>
      <c r="H174" s="542"/>
    </row>
    <row r="175" spans="2:8" ht="18">
      <c r="B175" s="550"/>
      <c r="C175" s="542"/>
      <c r="D175" s="542"/>
      <c r="E175" s="542"/>
      <c r="F175" s="542"/>
      <c r="G175" s="542"/>
      <c r="H175" s="542"/>
    </row>
    <row r="176" spans="2:8" ht="18">
      <c r="B176" s="550"/>
      <c r="C176" s="542"/>
      <c r="D176" s="542"/>
      <c r="E176" s="542"/>
      <c r="F176" s="542"/>
      <c r="G176" s="542"/>
      <c r="H176" s="542"/>
    </row>
    <row r="177" spans="2:8" ht="18">
      <c r="B177" s="550"/>
      <c r="C177" s="542"/>
      <c r="D177" s="542"/>
      <c r="E177" s="542"/>
      <c r="F177" s="542"/>
      <c r="G177" s="542"/>
      <c r="H177" s="542"/>
    </row>
    <row r="178" spans="2:8" ht="18">
      <c r="B178" s="550"/>
      <c r="C178" s="542"/>
      <c r="D178" s="542"/>
      <c r="E178" s="542"/>
      <c r="F178" s="542"/>
      <c r="G178" s="542"/>
      <c r="H178" s="542"/>
    </row>
    <row r="179" spans="2:8" ht="18">
      <c r="B179" s="550"/>
      <c r="C179" s="542"/>
      <c r="D179" s="542"/>
      <c r="E179" s="542"/>
      <c r="F179" s="542"/>
      <c r="G179" s="542"/>
      <c r="H179" s="542"/>
    </row>
    <row r="180" spans="2:8" ht="18">
      <c r="B180" s="550"/>
      <c r="C180" s="542"/>
      <c r="D180" s="542"/>
      <c r="E180" s="542"/>
      <c r="F180" s="542"/>
      <c r="G180" s="542"/>
      <c r="H180" s="542"/>
    </row>
    <row r="181" spans="2:8" ht="18">
      <c r="B181" s="550"/>
      <c r="C181" s="542"/>
      <c r="D181" s="542"/>
      <c r="E181" s="542"/>
      <c r="F181" s="542"/>
      <c r="G181" s="542"/>
      <c r="H181" s="542"/>
    </row>
    <row r="182" spans="2:8" ht="18">
      <c r="B182" s="550"/>
      <c r="C182" s="542"/>
      <c r="D182" s="542"/>
      <c r="E182" s="542"/>
      <c r="F182" s="542"/>
      <c r="G182" s="542"/>
      <c r="H182" s="542"/>
    </row>
    <row r="183" spans="2:8" ht="18">
      <c r="B183" s="550"/>
      <c r="C183" s="542"/>
      <c r="D183" s="542"/>
      <c r="E183" s="542"/>
      <c r="F183" s="542"/>
      <c r="G183" s="542"/>
      <c r="H183" s="542"/>
    </row>
    <row r="184" spans="2:8" ht="18">
      <c r="B184" s="550"/>
      <c r="C184" s="542"/>
      <c r="D184" s="542"/>
      <c r="E184" s="542"/>
      <c r="F184" s="542"/>
      <c r="G184" s="542"/>
      <c r="H184" s="542"/>
    </row>
    <row r="185" spans="2:8" ht="18">
      <c r="B185" s="550"/>
      <c r="C185" s="542"/>
      <c r="D185" s="542"/>
      <c r="E185" s="542"/>
      <c r="F185" s="542"/>
      <c r="G185" s="542"/>
      <c r="H185" s="542"/>
    </row>
    <row r="186" spans="2:8" ht="18">
      <c r="B186" s="550"/>
      <c r="C186" s="542"/>
      <c r="D186" s="542"/>
      <c r="E186" s="542"/>
      <c r="F186" s="542"/>
      <c r="G186" s="542"/>
      <c r="H186" s="542"/>
    </row>
    <row r="187" spans="2:8" ht="18">
      <c r="B187" s="550"/>
      <c r="C187" s="542"/>
      <c r="D187" s="542"/>
      <c r="E187" s="542"/>
      <c r="F187" s="542"/>
      <c r="G187" s="542"/>
      <c r="H187" s="542"/>
    </row>
    <row r="188" spans="2:8" ht="18">
      <c r="B188" s="550"/>
      <c r="C188" s="542"/>
      <c r="D188" s="542"/>
      <c r="E188" s="542"/>
      <c r="F188" s="542"/>
      <c r="G188" s="542"/>
      <c r="H188" s="542"/>
    </row>
    <row r="189" spans="2:8" ht="18">
      <c r="B189" s="550"/>
      <c r="C189" s="542"/>
      <c r="D189" s="542"/>
      <c r="E189" s="542"/>
      <c r="F189" s="542"/>
      <c r="G189" s="542"/>
      <c r="H189" s="542"/>
    </row>
    <row r="190" spans="2:8" ht="18">
      <c r="B190" s="550"/>
      <c r="C190" s="542"/>
      <c r="D190" s="542"/>
      <c r="E190" s="542"/>
      <c r="F190" s="542"/>
      <c r="G190" s="542"/>
      <c r="H190" s="542"/>
    </row>
    <row r="191" spans="2:8" ht="18">
      <c r="B191" s="550"/>
      <c r="C191" s="542"/>
      <c r="D191" s="542"/>
      <c r="E191" s="542"/>
      <c r="F191" s="542"/>
      <c r="G191" s="542"/>
      <c r="H191" s="542"/>
    </row>
    <row r="192" spans="2:8" ht="18">
      <c r="B192" s="550"/>
      <c r="C192" s="542"/>
      <c r="D192" s="542"/>
      <c r="E192" s="542"/>
      <c r="F192" s="542"/>
      <c r="G192" s="542"/>
      <c r="H192" s="542"/>
    </row>
    <row r="193" spans="2:8" ht="18">
      <c r="B193" s="550"/>
      <c r="C193" s="542"/>
      <c r="D193" s="542"/>
      <c r="E193" s="542"/>
      <c r="F193" s="542"/>
      <c r="G193" s="542"/>
      <c r="H193" s="542"/>
    </row>
    <row r="194" spans="2:8" ht="18">
      <c r="B194" s="550"/>
      <c r="C194" s="542"/>
      <c r="D194" s="542"/>
      <c r="E194" s="542"/>
      <c r="F194" s="542"/>
      <c r="G194" s="542"/>
      <c r="H194" s="542"/>
    </row>
    <row r="195" spans="2:8" ht="18">
      <c r="B195" s="550"/>
      <c r="C195" s="542"/>
      <c r="D195" s="542"/>
      <c r="E195" s="542"/>
      <c r="F195" s="542"/>
      <c r="G195" s="542"/>
      <c r="H195" s="542"/>
    </row>
    <row r="196" spans="2:8" ht="18">
      <c r="B196" s="550"/>
      <c r="C196" s="542"/>
      <c r="D196" s="542"/>
      <c r="E196" s="542"/>
      <c r="F196" s="542"/>
      <c r="G196" s="542"/>
      <c r="H196" s="542"/>
    </row>
    <row r="197" spans="2:8" ht="18">
      <c r="B197" s="550"/>
      <c r="C197" s="542"/>
      <c r="D197" s="542"/>
      <c r="E197" s="542"/>
      <c r="F197" s="542"/>
      <c r="G197" s="542"/>
      <c r="H197" s="542"/>
    </row>
    <row r="198" spans="2:8" ht="18">
      <c r="B198" s="550"/>
      <c r="C198" s="542"/>
      <c r="D198" s="542"/>
      <c r="E198" s="542"/>
      <c r="F198" s="542"/>
      <c r="G198" s="542"/>
      <c r="H198" s="542"/>
    </row>
    <row r="199" spans="2:8" ht="18">
      <c r="B199" s="550"/>
      <c r="C199" s="542"/>
      <c r="D199" s="542"/>
      <c r="E199" s="542"/>
      <c r="F199" s="542"/>
      <c r="G199" s="542"/>
      <c r="H199" s="542"/>
    </row>
    <row r="200" spans="2:8" ht="18">
      <c r="B200" s="550"/>
      <c r="C200" s="542"/>
      <c r="D200" s="542"/>
      <c r="E200" s="542"/>
      <c r="F200" s="542"/>
      <c r="G200" s="542"/>
      <c r="H200" s="542"/>
    </row>
    <row r="201" spans="2:8" ht="18">
      <c r="B201" s="550"/>
      <c r="C201" s="542"/>
      <c r="D201" s="542"/>
      <c r="E201" s="542"/>
      <c r="F201" s="542"/>
      <c r="G201" s="542"/>
      <c r="H201" s="542"/>
    </row>
    <row r="202" spans="2:8" ht="18">
      <c r="B202" s="550"/>
      <c r="C202" s="542"/>
      <c r="D202" s="542"/>
      <c r="E202" s="542"/>
      <c r="F202" s="542"/>
      <c r="G202" s="542"/>
      <c r="H202" s="542"/>
    </row>
    <row r="203" spans="2:8" ht="18">
      <c r="B203" s="550"/>
      <c r="C203" s="542"/>
      <c r="D203" s="542"/>
      <c r="E203" s="542"/>
      <c r="F203" s="542"/>
      <c r="G203" s="542"/>
      <c r="H203" s="542"/>
    </row>
    <row r="204" spans="2:8" ht="18">
      <c r="B204" s="550"/>
      <c r="C204" s="542"/>
      <c r="D204" s="542"/>
      <c r="E204" s="542"/>
      <c r="F204" s="542"/>
      <c r="G204" s="542"/>
      <c r="H204" s="542"/>
    </row>
    <row r="205" spans="2:8" ht="18">
      <c r="B205" s="550"/>
      <c r="C205" s="542"/>
      <c r="D205" s="542"/>
      <c r="E205" s="542"/>
      <c r="F205" s="542"/>
      <c r="G205" s="542"/>
      <c r="H205" s="542"/>
    </row>
    <row r="206" spans="2:8" ht="18">
      <c r="B206" s="550"/>
      <c r="C206" s="542"/>
      <c r="D206" s="542"/>
      <c r="E206" s="542"/>
      <c r="F206" s="542"/>
      <c r="G206" s="542"/>
      <c r="H206" s="542"/>
    </row>
    <row r="207" spans="2:8" ht="18">
      <c r="B207" s="550"/>
      <c r="C207" s="542"/>
      <c r="D207" s="542"/>
      <c r="E207" s="542"/>
      <c r="F207" s="542"/>
      <c r="G207" s="542"/>
      <c r="H207" s="542"/>
    </row>
    <row r="208" spans="2:8" ht="18">
      <c r="B208" s="550"/>
      <c r="C208" s="542"/>
      <c r="D208" s="542"/>
      <c r="E208" s="542"/>
      <c r="F208" s="542"/>
      <c r="G208" s="542"/>
      <c r="H208" s="542"/>
    </row>
    <row r="209" spans="2:8" ht="18">
      <c r="B209" s="550"/>
      <c r="C209" s="542"/>
      <c r="D209" s="542"/>
      <c r="E209" s="542"/>
      <c r="F209" s="542"/>
      <c r="G209" s="542"/>
      <c r="H209" s="542"/>
    </row>
    <row r="210" spans="2:8" ht="18">
      <c r="B210" s="550"/>
      <c r="C210" s="542"/>
      <c r="D210" s="542"/>
      <c r="E210" s="542"/>
      <c r="F210" s="542"/>
      <c r="G210" s="542"/>
      <c r="H210" s="542"/>
    </row>
    <row r="211" spans="2:8" ht="18">
      <c r="B211" s="550"/>
      <c r="C211" s="542"/>
      <c r="D211" s="542"/>
      <c r="E211" s="542"/>
      <c r="F211" s="542"/>
      <c r="G211" s="542"/>
      <c r="H211" s="542"/>
    </row>
    <row r="212" spans="2:8" ht="18">
      <c r="B212" s="550"/>
      <c r="C212" s="542"/>
      <c r="D212" s="542"/>
      <c r="E212" s="542"/>
      <c r="F212" s="542"/>
      <c r="G212" s="542"/>
      <c r="H212" s="542"/>
    </row>
    <row r="213" spans="2:8" ht="18">
      <c r="B213" s="550"/>
      <c r="C213" s="542"/>
      <c r="D213" s="542"/>
      <c r="E213" s="542"/>
      <c r="F213" s="542"/>
      <c r="G213" s="542"/>
      <c r="H213" s="542"/>
    </row>
    <row r="214" spans="2:8" ht="18">
      <c r="B214" s="550"/>
      <c r="C214" s="542"/>
      <c r="D214" s="542"/>
      <c r="E214" s="542"/>
      <c r="F214" s="542"/>
      <c r="G214" s="542"/>
      <c r="H214" s="542"/>
    </row>
    <row r="215" spans="2:8" ht="18">
      <c r="B215" s="550"/>
      <c r="C215" s="542"/>
      <c r="D215" s="542"/>
      <c r="E215" s="542"/>
      <c r="F215" s="542"/>
      <c r="G215" s="542"/>
      <c r="H215" s="542"/>
    </row>
    <row r="216" spans="2:8" ht="18">
      <c r="B216" s="550"/>
      <c r="C216" s="542"/>
      <c r="D216" s="542"/>
      <c r="E216" s="542"/>
      <c r="F216" s="542"/>
      <c r="G216" s="542"/>
      <c r="H216" s="542"/>
    </row>
    <row r="217" spans="2:8" ht="18">
      <c r="B217" s="550"/>
      <c r="C217" s="542"/>
      <c r="D217" s="542"/>
      <c r="E217" s="542"/>
      <c r="F217" s="542"/>
      <c r="G217" s="542"/>
      <c r="H217" s="542"/>
    </row>
    <row r="218" spans="2:8" ht="18">
      <c r="B218" s="550"/>
      <c r="C218" s="542"/>
      <c r="D218" s="542"/>
      <c r="E218" s="542"/>
      <c r="F218" s="542"/>
      <c r="G218" s="542"/>
      <c r="H218" s="542"/>
    </row>
    <row r="219" spans="2:8" ht="18">
      <c r="B219" s="550"/>
      <c r="C219" s="542"/>
      <c r="D219" s="542"/>
      <c r="E219" s="542"/>
      <c r="F219" s="542"/>
      <c r="G219" s="542"/>
      <c r="H219" s="542"/>
    </row>
    <row r="220" spans="2:8" ht="18">
      <c r="B220" s="550"/>
      <c r="C220" s="542"/>
      <c r="D220" s="542"/>
      <c r="E220" s="542"/>
      <c r="F220" s="542"/>
      <c r="G220" s="542"/>
      <c r="H220" s="542"/>
    </row>
    <row r="221" spans="2:8" ht="18">
      <c r="B221" s="550"/>
      <c r="C221" s="542"/>
      <c r="D221" s="542"/>
      <c r="E221" s="542"/>
      <c r="F221" s="542"/>
      <c r="G221" s="542"/>
      <c r="H221" s="542"/>
    </row>
    <row r="222" spans="2:8" ht="18">
      <c r="B222" s="550"/>
      <c r="C222" s="542"/>
      <c r="D222" s="542"/>
      <c r="E222" s="542"/>
      <c r="F222" s="542"/>
      <c r="G222" s="542"/>
      <c r="H222" s="542"/>
    </row>
    <row r="223" spans="2:8" ht="18">
      <c r="B223" s="550"/>
      <c r="C223" s="542"/>
      <c r="D223" s="542"/>
      <c r="E223" s="542"/>
      <c r="F223" s="542"/>
      <c r="G223" s="542"/>
      <c r="H223" s="542"/>
    </row>
    <row r="224" spans="2:8" ht="18">
      <c r="B224" s="550"/>
      <c r="C224" s="542"/>
      <c r="D224" s="542"/>
      <c r="E224" s="542"/>
      <c r="F224" s="542"/>
      <c r="G224" s="542"/>
      <c r="H224" s="542"/>
    </row>
    <row r="225" spans="2:9" ht="18">
      <c r="B225" s="550"/>
      <c r="C225" s="542"/>
      <c r="D225" s="542"/>
      <c r="E225" s="542"/>
      <c r="F225" s="542"/>
      <c r="G225" s="542"/>
      <c r="H225" s="542"/>
    </row>
    <row r="226" spans="2:9" ht="18">
      <c r="B226" s="550"/>
      <c r="C226" s="542"/>
      <c r="D226" s="542"/>
      <c r="E226" s="542"/>
      <c r="F226" s="542"/>
      <c r="G226" s="542"/>
      <c r="H226" s="542"/>
    </row>
    <row r="227" spans="2:9" ht="18">
      <c r="B227" s="550"/>
      <c r="C227" s="542"/>
      <c r="D227" s="542"/>
      <c r="E227" s="542"/>
      <c r="F227" s="542"/>
      <c r="G227" s="542"/>
      <c r="H227" s="542"/>
    </row>
    <row r="228" spans="2:9" ht="18">
      <c r="B228" s="550"/>
      <c r="C228" s="542"/>
      <c r="D228" s="542"/>
      <c r="E228" s="542"/>
      <c r="F228" s="542"/>
      <c r="G228" s="542"/>
      <c r="H228" s="542"/>
      <c r="I228" s="865"/>
    </row>
    <row r="229" spans="2:9" ht="18">
      <c r="B229" s="550"/>
      <c r="C229" s="542"/>
      <c r="D229" s="542"/>
      <c r="E229" s="542"/>
      <c r="F229" s="542"/>
      <c r="G229" s="542"/>
      <c r="H229" s="542"/>
    </row>
    <row r="230" spans="2:9" ht="18">
      <c r="B230" s="550"/>
      <c r="C230" s="542"/>
      <c r="D230" s="542"/>
      <c r="E230" s="542"/>
      <c r="F230" s="542"/>
      <c r="G230" s="542"/>
      <c r="H230" s="542"/>
    </row>
    <row r="231" spans="2:9">
      <c r="B231" s="462"/>
      <c r="C231" s="460"/>
      <c r="D231" s="460"/>
      <c r="E231" s="460"/>
      <c r="F231" s="460"/>
      <c r="G231" s="460"/>
      <c r="H231" s="460"/>
    </row>
    <row r="232" spans="2:9">
      <c r="B232" s="462"/>
      <c r="C232" s="460"/>
      <c r="D232" s="460"/>
      <c r="E232" s="460"/>
      <c r="F232" s="460"/>
      <c r="G232" s="460"/>
      <c r="H232" s="460"/>
    </row>
    <row r="233" spans="2:9">
      <c r="B233" s="462"/>
      <c r="C233" s="460"/>
      <c r="D233" s="460"/>
      <c r="E233" s="460"/>
      <c r="F233" s="460"/>
      <c r="G233" s="460"/>
      <c r="H233" s="460"/>
    </row>
    <row r="234" spans="2:9">
      <c r="B234" s="462"/>
      <c r="C234" s="460"/>
      <c r="D234" s="460"/>
      <c r="E234" s="460"/>
      <c r="F234" s="460"/>
      <c r="G234" s="460"/>
      <c r="H234" s="460"/>
    </row>
    <row r="235" spans="2:9">
      <c r="B235" s="462"/>
      <c r="C235" s="460"/>
      <c r="D235" s="460"/>
      <c r="E235" s="460"/>
      <c r="F235" s="460"/>
      <c r="G235" s="460"/>
      <c r="H235" s="460"/>
    </row>
    <row r="236" spans="2:9">
      <c r="B236" s="462"/>
      <c r="C236" s="460"/>
      <c r="D236" s="460"/>
      <c r="E236" s="460"/>
      <c r="F236" s="460"/>
      <c r="G236" s="460"/>
      <c r="H236" s="460"/>
    </row>
    <row r="237" spans="2:9">
      <c r="B237" s="462"/>
      <c r="C237" s="460"/>
      <c r="D237" s="460"/>
      <c r="E237" s="460"/>
      <c r="F237" s="460"/>
      <c r="G237" s="460"/>
      <c r="H237" s="460"/>
    </row>
    <row r="238" spans="2:9">
      <c r="B238" s="462"/>
      <c r="C238" s="460"/>
      <c r="D238" s="460"/>
      <c r="E238" s="460"/>
      <c r="F238" s="460"/>
      <c r="G238" s="460"/>
      <c r="H238" s="460"/>
    </row>
    <row r="239" spans="2:9">
      <c r="B239" s="462"/>
      <c r="C239" s="460"/>
      <c r="D239" s="460"/>
      <c r="E239" s="460"/>
      <c r="F239" s="460"/>
      <c r="G239" s="460"/>
      <c r="H239" s="460"/>
    </row>
    <row r="240" spans="2:9">
      <c r="B240" s="462"/>
      <c r="C240" s="460"/>
      <c r="D240" s="460"/>
      <c r="E240" s="460"/>
      <c r="F240" s="460"/>
      <c r="G240" s="460"/>
      <c r="H240" s="460"/>
    </row>
    <row r="241" spans="2:8">
      <c r="B241" s="462"/>
      <c r="C241" s="460"/>
      <c r="D241" s="460"/>
      <c r="E241" s="460"/>
      <c r="F241" s="460"/>
      <c r="G241" s="460"/>
      <c r="H241" s="460"/>
    </row>
    <row r="242" spans="2:8">
      <c r="B242" s="462"/>
      <c r="C242" s="460"/>
      <c r="D242" s="460"/>
      <c r="E242" s="460"/>
      <c r="F242" s="460"/>
      <c r="G242" s="460"/>
      <c r="H242" s="460"/>
    </row>
    <row r="243" spans="2:8">
      <c r="B243" s="462"/>
      <c r="C243" s="460"/>
      <c r="D243" s="460"/>
      <c r="E243" s="460"/>
      <c r="F243" s="460"/>
      <c r="G243" s="460"/>
      <c r="H243" s="460"/>
    </row>
    <row r="244" spans="2:8">
      <c r="B244" s="462"/>
      <c r="C244" s="460"/>
      <c r="D244" s="460"/>
      <c r="E244" s="460"/>
      <c r="F244" s="460"/>
      <c r="G244" s="460"/>
      <c r="H244" s="460"/>
    </row>
    <row r="245" spans="2:8">
      <c r="B245" s="462"/>
      <c r="C245" s="460"/>
      <c r="D245" s="460"/>
      <c r="E245" s="460"/>
      <c r="F245" s="460"/>
      <c r="G245" s="460"/>
      <c r="H245" s="460"/>
    </row>
    <row r="246" spans="2:8">
      <c r="B246" s="462"/>
      <c r="C246" s="460"/>
      <c r="D246" s="460"/>
      <c r="E246" s="460"/>
      <c r="F246" s="460"/>
      <c r="G246" s="460"/>
      <c r="H246" s="460"/>
    </row>
    <row r="247" spans="2:8">
      <c r="B247" s="462"/>
      <c r="C247" s="460"/>
      <c r="D247" s="460"/>
      <c r="E247" s="460"/>
      <c r="F247" s="460"/>
      <c r="G247" s="460"/>
      <c r="H247" s="460"/>
    </row>
    <row r="248" spans="2:8">
      <c r="B248" s="462"/>
      <c r="C248" s="460"/>
      <c r="D248" s="460"/>
      <c r="E248" s="460"/>
      <c r="F248" s="460"/>
      <c r="G248" s="460"/>
      <c r="H248" s="460"/>
    </row>
    <row r="249" spans="2:8">
      <c r="B249" s="462"/>
      <c r="C249" s="460"/>
      <c r="D249" s="460"/>
      <c r="E249" s="460"/>
      <c r="F249" s="460"/>
      <c r="G249" s="460"/>
      <c r="H249" s="460"/>
    </row>
    <row r="250" spans="2:8">
      <c r="B250" s="462"/>
      <c r="C250" s="460"/>
      <c r="D250" s="460"/>
      <c r="E250" s="460"/>
      <c r="F250" s="460"/>
      <c r="G250" s="460"/>
      <c r="H250" s="460"/>
    </row>
    <row r="251" spans="2:8">
      <c r="B251" s="462"/>
      <c r="C251" s="460"/>
      <c r="D251" s="460"/>
      <c r="E251" s="460"/>
      <c r="F251" s="460"/>
      <c r="G251" s="460"/>
      <c r="H251" s="460"/>
    </row>
    <row r="252" spans="2:8">
      <c r="B252" s="462"/>
      <c r="C252" s="460"/>
      <c r="D252" s="460"/>
      <c r="E252" s="460"/>
      <c r="F252" s="460"/>
      <c r="G252" s="460"/>
      <c r="H252" s="460"/>
    </row>
    <row r="253" spans="2:8">
      <c r="B253" s="462"/>
      <c r="C253" s="460"/>
      <c r="D253" s="460"/>
      <c r="E253" s="460"/>
      <c r="F253" s="460"/>
      <c r="G253" s="460"/>
      <c r="H253" s="460"/>
    </row>
    <row r="254" spans="2:8">
      <c r="B254" s="462"/>
      <c r="C254" s="460"/>
      <c r="D254" s="460"/>
      <c r="E254" s="460"/>
      <c r="F254" s="460"/>
      <c r="G254" s="460"/>
      <c r="H254" s="460"/>
    </row>
    <row r="255" spans="2:8">
      <c r="B255" s="462"/>
      <c r="C255" s="460"/>
      <c r="D255" s="460"/>
      <c r="E255" s="460"/>
      <c r="F255" s="460"/>
      <c r="G255" s="460"/>
      <c r="H255" s="460"/>
    </row>
    <row r="256" spans="2:8">
      <c r="B256" s="462"/>
      <c r="C256" s="460"/>
      <c r="D256" s="460"/>
      <c r="E256" s="460"/>
      <c r="F256" s="460"/>
      <c r="G256" s="460"/>
      <c r="H256" s="460"/>
    </row>
    <row r="257" spans="2:8">
      <c r="B257" s="462"/>
      <c r="C257" s="460"/>
      <c r="D257" s="460"/>
      <c r="E257" s="460"/>
      <c r="F257" s="460"/>
      <c r="G257" s="460"/>
      <c r="H257" s="460"/>
    </row>
    <row r="258" spans="2:8">
      <c r="B258" s="462"/>
      <c r="C258" s="460"/>
      <c r="D258" s="460"/>
      <c r="E258" s="460"/>
      <c r="F258" s="460"/>
      <c r="G258" s="460"/>
      <c r="H258" s="460"/>
    </row>
    <row r="259" spans="2:8">
      <c r="B259" s="462"/>
      <c r="C259" s="460"/>
      <c r="D259" s="460"/>
      <c r="E259" s="460"/>
      <c r="F259" s="460"/>
      <c r="G259" s="460"/>
      <c r="H259" s="460"/>
    </row>
    <row r="260" spans="2:8">
      <c r="B260" s="462"/>
      <c r="C260" s="460"/>
      <c r="D260" s="460"/>
      <c r="E260" s="460"/>
      <c r="F260" s="460"/>
      <c r="G260" s="460"/>
      <c r="H260" s="460"/>
    </row>
    <row r="261" spans="2:8">
      <c r="B261" s="462"/>
      <c r="C261" s="460"/>
      <c r="D261" s="460"/>
      <c r="E261" s="460"/>
      <c r="F261" s="460"/>
      <c r="G261" s="460"/>
      <c r="H261" s="460"/>
    </row>
    <row r="262" spans="2:8">
      <c r="B262" s="462"/>
      <c r="C262" s="460"/>
      <c r="D262" s="460"/>
      <c r="E262" s="460"/>
      <c r="F262" s="460"/>
      <c r="G262" s="460"/>
      <c r="H262" s="460"/>
    </row>
    <row r="263" spans="2:8">
      <c r="B263" s="462"/>
      <c r="C263" s="460"/>
      <c r="D263" s="460"/>
      <c r="E263" s="460"/>
      <c r="F263" s="460"/>
      <c r="G263" s="460"/>
      <c r="H263" s="460"/>
    </row>
    <row r="264" spans="2:8">
      <c r="B264" s="462"/>
      <c r="C264" s="460"/>
      <c r="D264" s="460"/>
      <c r="E264" s="460"/>
      <c r="F264" s="460"/>
      <c r="G264" s="460"/>
      <c r="H264" s="460"/>
    </row>
    <row r="265" spans="2:8">
      <c r="B265" s="462"/>
      <c r="C265" s="460"/>
      <c r="D265" s="460"/>
      <c r="E265" s="460"/>
      <c r="F265" s="460"/>
      <c r="G265" s="460"/>
      <c r="H265" s="460"/>
    </row>
    <row r="266" spans="2:8">
      <c r="B266" s="462"/>
      <c r="C266" s="460"/>
      <c r="D266" s="460"/>
      <c r="E266" s="460"/>
      <c r="F266" s="460"/>
      <c r="G266" s="460"/>
      <c r="H266" s="460"/>
    </row>
    <row r="267" spans="2:8">
      <c r="B267" s="462"/>
      <c r="C267" s="460"/>
      <c r="D267" s="460"/>
      <c r="E267" s="460"/>
      <c r="F267" s="460"/>
      <c r="G267" s="460"/>
      <c r="H267" s="460"/>
    </row>
    <row r="268" spans="2:8">
      <c r="B268" s="462"/>
      <c r="C268" s="460"/>
      <c r="D268" s="460"/>
      <c r="E268" s="460"/>
      <c r="F268" s="460"/>
      <c r="G268" s="460"/>
      <c r="H268" s="460"/>
    </row>
    <row r="269" spans="2:8">
      <c r="B269" s="462"/>
      <c r="C269" s="460"/>
      <c r="D269" s="460"/>
      <c r="E269" s="460"/>
      <c r="F269" s="460"/>
      <c r="G269" s="460"/>
      <c r="H269" s="460"/>
    </row>
    <row r="270" spans="2:8">
      <c r="B270" s="462"/>
      <c r="C270" s="460"/>
      <c r="D270" s="460"/>
      <c r="E270" s="460"/>
      <c r="F270" s="460"/>
      <c r="G270" s="460"/>
      <c r="H270" s="460"/>
    </row>
    <row r="271" spans="2:8">
      <c r="B271" s="462"/>
      <c r="C271" s="460"/>
      <c r="D271" s="460"/>
      <c r="E271" s="460"/>
      <c r="F271" s="460"/>
      <c r="G271" s="460"/>
      <c r="H271" s="460"/>
    </row>
    <row r="272" spans="2:8">
      <c r="B272" s="462"/>
      <c r="C272" s="460"/>
      <c r="D272" s="460"/>
      <c r="E272" s="460"/>
      <c r="F272" s="460"/>
      <c r="G272" s="460"/>
      <c r="H272" s="460"/>
    </row>
    <row r="273" spans="2:8">
      <c r="B273" s="462"/>
      <c r="C273" s="460"/>
      <c r="D273" s="460"/>
      <c r="E273" s="460"/>
      <c r="F273" s="460"/>
      <c r="G273" s="460"/>
      <c r="H273" s="460"/>
    </row>
    <row r="274" spans="2:8">
      <c r="B274" s="462"/>
      <c r="C274" s="460"/>
      <c r="D274" s="460"/>
      <c r="E274" s="460"/>
      <c r="F274" s="460"/>
      <c r="G274" s="460"/>
      <c r="H274" s="460"/>
    </row>
    <row r="275" spans="2:8">
      <c r="B275" s="462"/>
      <c r="C275" s="460"/>
      <c r="D275" s="460"/>
      <c r="E275" s="460"/>
      <c r="F275" s="460"/>
      <c r="G275" s="460"/>
      <c r="H275" s="460"/>
    </row>
    <row r="276" spans="2:8">
      <c r="B276" s="462"/>
      <c r="C276" s="460"/>
      <c r="D276" s="460"/>
      <c r="E276" s="460"/>
      <c r="F276" s="460"/>
      <c r="G276" s="460"/>
      <c r="H276" s="460"/>
    </row>
    <row r="277" spans="2:8">
      <c r="B277" s="462"/>
      <c r="C277" s="460"/>
      <c r="D277" s="460"/>
      <c r="E277" s="460"/>
      <c r="F277" s="460"/>
      <c r="G277" s="460"/>
      <c r="H277" s="460"/>
    </row>
    <row r="278" spans="2:8">
      <c r="B278" s="462"/>
      <c r="C278" s="460"/>
      <c r="D278" s="460"/>
      <c r="E278" s="460"/>
      <c r="F278" s="460"/>
      <c r="G278" s="460"/>
      <c r="H278" s="460"/>
    </row>
    <row r="279" spans="2:8">
      <c r="B279" s="462"/>
      <c r="C279" s="460"/>
      <c r="D279" s="460"/>
      <c r="E279" s="460"/>
      <c r="F279" s="460"/>
      <c r="G279" s="460"/>
      <c r="H279" s="460"/>
    </row>
    <row r="280" spans="2:8">
      <c r="B280" s="462"/>
      <c r="C280" s="460"/>
      <c r="D280" s="460"/>
      <c r="E280" s="460"/>
      <c r="F280" s="460"/>
      <c r="G280" s="460"/>
      <c r="H280" s="460"/>
    </row>
    <row r="281" spans="2:8">
      <c r="B281" s="462"/>
      <c r="C281" s="460"/>
      <c r="D281" s="460"/>
      <c r="E281" s="460"/>
      <c r="F281" s="460"/>
      <c r="G281" s="460"/>
      <c r="H281" s="460"/>
    </row>
    <row r="282" spans="2:8">
      <c r="B282" s="462"/>
      <c r="C282" s="460"/>
      <c r="D282" s="460"/>
      <c r="E282" s="460"/>
      <c r="F282" s="460"/>
      <c r="G282" s="460"/>
      <c r="H282" s="460"/>
    </row>
    <row r="283" spans="2:8">
      <c r="B283" s="462"/>
      <c r="C283" s="460"/>
      <c r="D283" s="460"/>
      <c r="E283" s="460"/>
      <c r="F283" s="460"/>
      <c r="G283" s="460"/>
      <c r="H283" s="460"/>
    </row>
    <row r="284" spans="2:8">
      <c r="B284" s="462"/>
      <c r="C284" s="460"/>
      <c r="D284" s="460"/>
      <c r="E284" s="460"/>
      <c r="F284" s="460"/>
      <c r="G284" s="460"/>
      <c r="H284" s="460"/>
    </row>
    <row r="285" spans="2:8">
      <c r="B285" s="462"/>
      <c r="C285" s="460"/>
      <c r="D285" s="460"/>
      <c r="E285" s="460"/>
      <c r="F285" s="460"/>
      <c r="G285" s="460"/>
      <c r="H285" s="460"/>
    </row>
    <row r="286" spans="2:8">
      <c r="B286" s="462"/>
      <c r="C286" s="460"/>
      <c r="D286" s="460"/>
      <c r="E286" s="460"/>
      <c r="F286" s="460"/>
      <c r="G286" s="460"/>
      <c r="H286" s="460"/>
    </row>
    <row r="287" spans="2:8">
      <c r="B287" s="462"/>
      <c r="C287" s="460"/>
      <c r="D287" s="460"/>
      <c r="E287" s="460"/>
      <c r="F287" s="460"/>
      <c r="G287" s="460"/>
      <c r="H287" s="460"/>
    </row>
    <row r="288" spans="2:8">
      <c r="B288" s="462"/>
      <c r="C288" s="460"/>
      <c r="D288" s="460"/>
      <c r="E288" s="460"/>
      <c r="F288" s="460"/>
      <c r="G288" s="460"/>
      <c r="H288" s="460"/>
    </row>
    <row r="289" spans="2:8">
      <c r="B289" s="462"/>
      <c r="C289" s="460"/>
      <c r="D289" s="460"/>
      <c r="E289" s="460"/>
      <c r="F289" s="460"/>
      <c r="G289" s="460"/>
      <c r="H289" s="460"/>
    </row>
    <row r="290" spans="2:8">
      <c r="B290" s="462"/>
      <c r="C290" s="460"/>
      <c r="D290" s="460"/>
      <c r="E290" s="460"/>
      <c r="F290" s="460"/>
      <c r="G290" s="460"/>
      <c r="H290" s="460"/>
    </row>
    <row r="291" spans="2:8">
      <c r="B291" s="462"/>
      <c r="C291" s="460"/>
      <c r="D291" s="460"/>
      <c r="E291" s="460"/>
      <c r="F291" s="460"/>
      <c r="G291" s="460"/>
      <c r="H291" s="460"/>
    </row>
    <row r="292" spans="2:8">
      <c r="B292" s="462"/>
      <c r="C292" s="460"/>
      <c r="D292" s="460"/>
      <c r="E292" s="460"/>
      <c r="F292" s="460"/>
      <c r="G292" s="460"/>
      <c r="H292" s="460"/>
    </row>
    <row r="293" spans="2:8">
      <c r="B293" s="462"/>
      <c r="C293" s="460"/>
      <c r="D293" s="460"/>
      <c r="E293" s="460"/>
      <c r="F293" s="460"/>
      <c r="G293" s="460"/>
      <c r="H293" s="460"/>
    </row>
    <row r="294" spans="2:8">
      <c r="B294" s="462"/>
      <c r="C294" s="460"/>
      <c r="D294" s="460"/>
      <c r="E294" s="460"/>
      <c r="F294" s="460"/>
      <c r="G294" s="460"/>
      <c r="H294" s="460"/>
    </row>
    <row r="295" spans="2:8">
      <c r="B295" s="462"/>
      <c r="C295" s="460"/>
      <c r="D295" s="460"/>
      <c r="E295" s="460"/>
      <c r="F295" s="460"/>
      <c r="G295" s="460"/>
      <c r="H295" s="460"/>
    </row>
    <row r="296" spans="2:8">
      <c r="B296" s="462"/>
      <c r="C296" s="460"/>
      <c r="D296" s="460"/>
      <c r="E296" s="460"/>
      <c r="F296" s="460"/>
      <c r="G296" s="460"/>
      <c r="H296" s="460"/>
    </row>
    <row r="297" spans="2:8">
      <c r="B297" s="462"/>
      <c r="C297" s="460"/>
      <c r="D297" s="460"/>
      <c r="E297" s="460"/>
      <c r="F297" s="460"/>
      <c r="G297" s="460"/>
      <c r="H297" s="460"/>
    </row>
    <row r="298" spans="2:8">
      <c r="B298" s="462"/>
      <c r="C298" s="460"/>
      <c r="D298" s="460"/>
      <c r="E298" s="460"/>
      <c r="F298" s="460"/>
      <c r="G298" s="460"/>
      <c r="H298" s="460"/>
    </row>
    <row r="299" spans="2:8">
      <c r="B299" s="462"/>
      <c r="C299" s="460"/>
      <c r="D299" s="460"/>
      <c r="E299" s="460"/>
      <c r="F299" s="460"/>
      <c r="G299" s="460"/>
      <c r="H299" s="460"/>
    </row>
    <row r="300" spans="2:8">
      <c r="B300" s="462"/>
      <c r="C300" s="460"/>
      <c r="D300" s="460"/>
      <c r="E300" s="460"/>
      <c r="F300" s="460"/>
      <c r="G300" s="460"/>
      <c r="H300" s="460"/>
    </row>
    <row r="301" spans="2:8">
      <c r="B301" s="462"/>
      <c r="C301" s="460"/>
      <c r="D301" s="460"/>
      <c r="E301" s="460"/>
      <c r="F301" s="460"/>
      <c r="G301" s="460"/>
      <c r="H301" s="460"/>
    </row>
    <row r="302" spans="2:8">
      <c r="B302" s="462"/>
      <c r="C302" s="460"/>
      <c r="D302" s="460"/>
      <c r="E302" s="460"/>
      <c r="F302" s="460"/>
      <c r="G302" s="460"/>
      <c r="H302" s="460"/>
    </row>
    <row r="303" spans="2:8">
      <c r="B303" s="462"/>
      <c r="C303" s="460"/>
      <c r="D303" s="460"/>
      <c r="E303" s="460"/>
      <c r="F303" s="460"/>
      <c r="G303" s="460"/>
      <c r="H303" s="460"/>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3:H3"/>
    <mergeCell ref="B41:G41"/>
    <mergeCell ref="B70:G70"/>
    <mergeCell ref="B74:G74"/>
    <mergeCell ref="B45:G45"/>
    <mergeCell ref="B47:H47"/>
    <mergeCell ref="B48:H48"/>
    <mergeCell ref="B49:H49"/>
    <mergeCell ref="B105:H105"/>
    <mergeCell ref="B75:H75"/>
    <mergeCell ref="B76:H76"/>
    <mergeCell ref="B77:H77"/>
    <mergeCell ref="B98:G98"/>
    <mergeCell ref="B102:G102"/>
  </mergeCells>
  <phoneticPr fontId="60" type="noConversion"/>
  <printOptions horizontalCentered="1"/>
  <pageMargins left="0.5" right="0.5" top="0.71" bottom="0.5" header="0.33" footer="0.5"/>
  <pageSetup scale="37" orientation="portrait"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499984740745262"/>
    <pageSetUpPr fitToPage="1"/>
  </sheetPr>
  <dimension ref="A1:U521"/>
  <sheetViews>
    <sheetView view="pageBreakPreview" zoomScale="70" zoomScaleNormal="70" zoomScaleSheetLayoutView="70" workbookViewId="0">
      <selection activeCell="B45" sqref="B45:G45"/>
    </sheetView>
  </sheetViews>
  <sheetFormatPr defaultColWidth="8.88671875" defaultRowHeight="15"/>
  <cols>
    <col min="1" max="1" width="4.5546875" style="454" customWidth="1"/>
    <col min="2" max="2" width="46.33203125" style="463" customWidth="1"/>
    <col min="3" max="3" width="22.109375" style="454" customWidth="1"/>
    <col min="4" max="4" width="21.5546875" style="454" customWidth="1"/>
    <col min="5" max="5" width="20.88671875" style="454" customWidth="1"/>
    <col min="6" max="6" width="16.6640625" style="454" customWidth="1"/>
    <col min="7" max="7" width="20.44140625" style="454" customWidth="1"/>
    <col min="8" max="8" width="59.6640625" style="454" customWidth="1"/>
    <col min="9" max="16384" width="8.88671875" style="454"/>
  </cols>
  <sheetData>
    <row r="1" spans="1:21" ht="18">
      <c r="B1" s="1728" t="str">
        <f>+'Appendix III'!E8</f>
        <v>MidAmerican Central California Transco, LLC</v>
      </c>
      <c r="C1" s="1729"/>
      <c r="D1" s="1729"/>
      <c r="E1" s="1729"/>
      <c r="F1" s="1729"/>
      <c r="G1" s="1729"/>
      <c r="H1" s="1729"/>
      <c r="I1" s="453"/>
      <c r="J1" s="453"/>
    </row>
    <row r="2" spans="1:21" ht="18">
      <c r="B2" s="1728" t="s">
        <v>359</v>
      </c>
      <c r="C2" s="1728"/>
      <c r="D2" s="1728"/>
      <c r="E2" s="1728"/>
      <c r="F2" s="1728"/>
      <c r="G2" s="1728"/>
      <c r="H2" s="1728"/>
      <c r="I2" s="453"/>
      <c r="J2" s="453"/>
    </row>
    <row r="3" spans="1:21" ht="18">
      <c r="B3" s="1727" t="s">
        <v>139</v>
      </c>
      <c r="C3" s="1727"/>
      <c r="D3" s="1727"/>
      <c r="E3" s="1727"/>
      <c r="F3" s="1727"/>
      <c r="G3" s="1727"/>
      <c r="H3" s="1727"/>
      <c r="I3" s="453"/>
      <c r="J3" s="453"/>
    </row>
    <row r="4" spans="1:21" ht="10.5" customHeight="1">
      <c r="B4" s="498"/>
      <c r="C4" s="498"/>
      <c r="D4" s="498"/>
      <c r="E4" s="498"/>
      <c r="F4" s="498"/>
      <c r="G4" s="498"/>
      <c r="H4" s="498"/>
      <c r="I4" s="453"/>
      <c r="J4" s="453"/>
    </row>
    <row r="5" spans="1:21" ht="13.5" customHeight="1">
      <c r="B5" s="464"/>
      <c r="C5" s="465"/>
      <c r="D5" s="498"/>
      <c r="E5" s="498"/>
      <c r="F5" s="465"/>
      <c r="G5" s="499"/>
      <c r="H5" s="465"/>
    </row>
    <row r="6" spans="1:21" ht="15.75">
      <c r="B6" s="464"/>
      <c r="C6" s="465"/>
      <c r="D6" s="499" t="s">
        <v>25</v>
      </c>
      <c r="E6" s="499" t="s">
        <v>330</v>
      </c>
      <c r="F6" s="499" t="s">
        <v>325</v>
      </c>
      <c r="G6" s="499" t="s">
        <v>20</v>
      </c>
      <c r="H6" s="465"/>
      <c r="I6" s="455"/>
      <c r="J6" s="456"/>
      <c r="K6" s="456"/>
      <c r="L6" s="456"/>
      <c r="M6" s="456"/>
      <c r="N6" s="456"/>
      <c r="O6" s="456"/>
      <c r="P6" s="456"/>
      <c r="Q6" s="456"/>
      <c r="R6" s="456"/>
      <c r="S6" s="456"/>
      <c r="T6" s="456"/>
      <c r="U6" s="457"/>
    </row>
    <row r="7" spans="1:21" ht="15.75">
      <c r="A7" s="466" t="s">
        <v>659</v>
      </c>
      <c r="C7" s="465"/>
      <c r="D7" s="499" t="s">
        <v>331</v>
      </c>
      <c r="E7" s="499" t="s">
        <v>331</v>
      </c>
      <c r="F7" s="499" t="s">
        <v>331</v>
      </c>
      <c r="G7" s="499" t="s">
        <v>1</v>
      </c>
      <c r="H7" s="465"/>
      <c r="J7" s="456"/>
      <c r="K7" s="456"/>
      <c r="L7" s="456"/>
      <c r="M7" s="456"/>
      <c r="N7" s="456"/>
      <c r="O7" s="456"/>
      <c r="P7" s="456"/>
      <c r="Q7" s="456"/>
      <c r="R7" s="456"/>
      <c r="S7" s="456"/>
      <c r="T7" s="456"/>
      <c r="U7" s="457"/>
    </row>
    <row r="8" spans="1:21" ht="15.75">
      <c r="A8" s="466"/>
      <c r="C8" s="465"/>
      <c r="D8" s="465"/>
      <c r="E8" s="465"/>
      <c r="F8" s="465"/>
      <c r="G8" s="465"/>
      <c r="H8" s="465"/>
    </row>
    <row r="9" spans="1:21" ht="15.75">
      <c r="A9" s="466">
        <v>1</v>
      </c>
      <c r="C9" s="465" t="s">
        <v>332</v>
      </c>
      <c r="D9" s="644">
        <f>+E67</f>
        <v>0</v>
      </c>
      <c r="E9" s="644">
        <f>+F67</f>
        <v>0</v>
      </c>
      <c r="F9" s="644">
        <f>+G67</f>
        <v>0</v>
      </c>
      <c r="G9" s="644"/>
      <c r="H9" s="465" t="s">
        <v>333</v>
      </c>
    </row>
    <row r="10" spans="1:21" ht="15.75">
      <c r="A10" s="466">
        <f>+A9+1</f>
        <v>2</v>
      </c>
      <c r="C10" s="465" t="s">
        <v>334</v>
      </c>
      <c r="D10" s="442">
        <f>+E96</f>
        <v>-2041001</v>
      </c>
      <c r="E10" s="644">
        <f>+F96</f>
        <v>0</v>
      </c>
      <c r="F10" s="644">
        <f>+G96</f>
        <v>0</v>
      </c>
      <c r="G10" s="644"/>
      <c r="H10" s="465" t="s">
        <v>335</v>
      </c>
    </row>
    <row r="11" spans="1:21" ht="15.75">
      <c r="A11" s="466">
        <f t="shared" ref="A11:A74" si="0">+A10+1</f>
        <v>3</v>
      </c>
      <c r="C11" s="465" t="s">
        <v>336</v>
      </c>
      <c r="D11" s="442">
        <f>E39</f>
        <v>0</v>
      </c>
      <c r="E11" s="644">
        <f>F39</f>
        <v>0</v>
      </c>
      <c r="F11" s="644">
        <f>G39</f>
        <v>0</v>
      </c>
      <c r="G11" s="644"/>
      <c r="H11" s="465" t="s">
        <v>337</v>
      </c>
    </row>
    <row r="12" spans="1:21" ht="15.75">
      <c r="A12" s="466">
        <f t="shared" si="0"/>
        <v>4</v>
      </c>
      <c r="C12" s="465" t="s">
        <v>338</v>
      </c>
      <c r="D12" s="442">
        <f>SUM(D9:D11)</f>
        <v>-2041001</v>
      </c>
      <c r="E12" s="644">
        <f>SUM(E9:E11)</f>
        <v>0</v>
      </c>
      <c r="F12" s="644">
        <f>SUM(F9:F11)</f>
        <v>0</v>
      </c>
      <c r="G12" s="644"/>
      <c r="H12" s="467"/>
    </row>
    <row r="13" spans="1:21" ht="18">
      <c r="A13" s="466">
        <f t="shared" si="0"/>
        <v>5</v>
      </c>
      <c r="C13" s="465" t="s">
        <v>339</v>
      </c>
      <c r="D13" s="644"/>
      <c r="E13" s="644"/>
      <c r="F13" s="644">
        <f>+'Appendix III'!J200</f>
        <v>1</v>
      </c>
      <c r="G13" s="644"/>
      <c r="H13" s="518" t="s">
        <v>1034</v>
      </c>
    </row>
    <row r="14" spans="1:21" ht="18">
      <c r="A14" s="466">
        <f t="shared" si="0"/>
        <v>6</v>
      </c>
      <c r="C14" s="465" t="s">
        <v>37</v>
      </c>
      <c r="D14" s="644"/>
      <c r="E14" s="644">
        <f>+'Appendix III'!H72</f>
        <v>1</v>
      </c>
      <c r="F14" s="644"/>
      <c r="G14" s="644"/>
      <c r="H14" s="518" t="s">
        <v>1035</v>
      </c>
    </row>
    <row r="15" spans="1:21" ht="15.75">
      <c r="A15" s="466">
        <f t="shared" si="0"/>
        <v>7</v>
      </c>
      <c r="C15" s="465" t="s">
        <v>340</v>
      </c>
      <c r="D15" s="442">
        <f>+D12</f>
        <v>-2041001</v>
      </c>
      <c r="E15" s="644">
        <f>+E12*E14</f>
        <v>0</v>
      </c>
      <c r="F15" s="644">
        <f>+F13*F12</f>
        <v>0</v>
      </c>
      <c r="G15" s="442">
        <f>+D15+E15+F15</f>
        <v>-2041001</v>
      </c>
      <c r="H15" s="468" t="s">
        <v>949</v>
      </c>
    </row>
    <row r="16" spans="1:21" ht="15.75">
      <c r="A16" s="466">
        <f t="shared" si="0"/>
        <v>8</v>
      </c>
      <c r="B16" s="464"/>
      <c r="C16" s="465"/>
      <c r="D16" s="467"/>
      <c r="E16" s="467"/>
      <c r="F16" s="467"/>
      <c r="G16" s="467"/>
      <c r="H16" s="468"/>
    </row>
    <row r="17" spans="1:9" s="455" customFormat="1" ht="15.75">
      <c r="A17" s="466">
        <f t="shared" si="0"/>
        <v>9</v>
      </c>
      <c r="B17" s="465"/>
      <c r="C17" s="465"/>
      <c r="D17" s="465"/>
      <c r="E17" s="465"/>
      <c r="F17" s="465"/>
      <c r="G17" s="465"/>
      <c r="H17" s="467"/>
    </row>
    <row r="18" spans="1:9" s="455" customFormat="1" ht="15.75">
      <c r="A18" s="466">
        <f t="shared" si="0"/>
        <v>10</v>
      </c>
      <c r="B18" s="465"/>
      <c r="C18" s="465"/>
      <c r="D18" s="467"/>
      <c r="E18" s="465"/>
      <c r="F18" s="465"/>
      <c r="G18" s="465"/>
      <c r="H18" s="442"/>
    </row>
    <row r="19" spans="1:9" ht="15.75">
      <c r="A19" s="466">
        <f t="shared" si="0"/>
        <v>11</v>
      </c>
      <c r="B19" s="465"/>
      <c r="C19" s="465"/>
      <c r="D19" s="465"/>
      <c r="E19" s="465"/>
      <c r="F19" s="465"/>
      <c r="G19" s="465"/>
      <c r="H19" s="469"/>
    </row>
    <row r="20" spans="1:9" ht="15.75">
      <c r="A20" s="466">
        <f t="shared" si="0"/>
        <v>12</v>
      </c>
      <c r="B20" s="464" t="s">
        <v>341</v>
      </c>
      <c r="C20" s="465"/>
      <c r="D20" s="465"/>
      <c r="E20" s="465"/>
      <c r="F20" s="465"/>
      <c r="G20" s="465"/>
      <c r="H20" s="465"/>
    </row>
    <row r="21" spans="1:9" ht="15.75">
      <c r="A21" s="466">
        <f t="shared" si="0"/>
        <v>13</v>
      </c>
      <c r="B21" s="464" t="s">
        <v>499</v>
      </c>
      <c r="C21" s="465"/>
      <c r="D21" s="465"/>
      <c r="E21" s="465"/>
      <c r="F21" s="465"/>
      <c r="G21" s="465"/>
      <c r="H21" s="465"/>
    </row>
    <row r="22" spans="1:9" ht="15.75">
      <c r="A22" s="466">
        <f t="shared" si="0"/>
        <v>14</v>
      </c>
      <c r="B22" s="499" t="s">
        <v>76</v>
      </c>
      <c r="C22" s="499" t="s">
        <v>77</v>
      </c>
      <c r="D22" s="499" t="s">
        <v>78</v>
      </c>
      <c r="E22" s="499" t="s">
        <v>79</v>
      </c>
      <c r="F22" s="499" t="s">
        <v>80</v>
      </c>
      <c r="G22" s="499" t="s">
        <v>81</v>
      </c>
      <c r="H22" s="499" t="s">
        <v>83</v>
      </c>
    </row>
    <row r="23" spans="1:9" ht="18">
      <c r="A23" s="466">
        <f t="shared" si="0"/>
        <v>15</v>
      </c>
      <c r="B23" s="464"/>
      <c r="C23" s="499" t="s">
        <v>20</v>
      </c>
      <c r="D23" s="499" t="s">
        <v>342</v>
      </c>
      <c r="E23" s="498"/>
      <c r="F23" s="498"/>
      <c r="G23" s="498"/>
      <c r="H23" s="465"/>
    </row>
    <row r="24" spans="1:9" ht="15.75">
      <c r="A24" s="466">
        <f t="shared" si="0"/>
        <v>16</v>
      </c>
      <c r="B24" s="464" t="s">
        <v>336</v>
      </c>
      <c r="C24" s="499"/>
      <c r="D24" s="499" t="s">
        <v>343</v>
      </c>
      <c r="E24" s="499" t="s">
        <v>25</v>
      </c>
      <c r="F24" s="499" t="s">
        <v>330</v>
      </c>
      <c r="G24" s="499" t="s">
        <v>325</v>
      </c>
      <c r="H24" s="465"/>
    </row>
    <row r="25" spans="1:9" ht="15.75">
      <c r="A25" s="466">
        <f t="shared" si="0"/>
        <v>17</v>
      </c>
      <c r="B25" s="464"/>
      <c r="C25" s="499"/>
      <c r="D25" s="499" t="s">
        <v>331</v>
      </c>
      <c r="E25" s="499" t="s">
        <v>331</v>
      </c>
      <c r="F25" s="499" t="s">
        <v>331</v>
      </c>
      <c r="G25" s="499" t="s">
        <v>331</v>
      </c>
      <c r="H25" s="499" t="s">
        <v>344</v>
      </c>
    </row>
    <row r="26" spans="1:9" ht="35.1" hidden="1" customHeight="1">
      <c r="A26" s="466">
        <f t="shared" si="0"/>
        <v>18</v>
      </c>
      <c r="B26" s="470"/>
      <c r="C26" s="471"/>
      <c r="D26" s="472"/>
      <c r="E26" s="472"/>
      <c r="F26" s="472"/>
      <c r="G26" s="472"/>
      <c r="H26" s="473"/>
      <c r="I26" s="458"/>
    </row>
    <row r="27" spans="1:9" ht="35.1" hidden="1" customHeight="1">
      <c r="A27" s="466">
        <f t="shared" si="0"/>
        <v>19</v>
      </c>
      <c r="B27" s="474"/>
      <c r="C27" s="471"/>
      <c r="D27" s="472"/>
      <c r="E27" s="472"/>
      <c r="F27" s="472"/>
      <c r="G27" s="472"/>
      <c r="H27" s="473"/>
      <c r="I27" s="458"/>
    </row>
    <row r="28" spans="1:9" ht="35.1" hidden="1" customHeight="1">
      <c r="A28" s="466">
        <f t="shared" si="0"/>
        <v>20</v>
      </c>
      <c r="B28" s="474"/>
      <c r="C28" s="471"/>
      <c r="D28" s="472"/>
      <c r="E28" s="472"/>
      <c r="F28" s="472"/>
      <c r="G28" s="472"/>
      <c r="H28" s="473"/>
      <c r="I28" s="458"/>
    </row>
    <row r="29" spans="1:9" ht="35.1" hidden="1" customHeight="1">
      <c r="A29" s="466">
        <f t="shared" si="0"/>
        <v>21</v>
      </c>
      <c r="B29" s="474"/>
      <c r="C29" s="471"/>
      <c r="D29" s="472"/>
      <c r="E29" s="472"/>
      <c r="F29" s="472"/>
      <c r="G29" s="472"/>
      <c r="H29" s="473"/>
      <c r="I29" s="458"/>
    </row>
    <row r="30" spans="1:9" ht="35.1" hidden="1" customHeight="1">
      <c r="A30" s="466">
        <f t="shared" si="0"/>
        <v>22</v>
      </c>
      <c r="B30" s="474"/>
      <c r="C30" s="471"/>
      <c r="D30" s="472"/>
      <c r="E30" s="472"/>
      <c r="F30" s="472"/>
      <c r="G30" s="472"/>
      <c r="H30" s="473"/>
      <c r="I30" s="458"/>
    </row>
    <row r="31" spans="1:9" ht="35.1" hidden="1" customHeight="1">
      <c r="A31" s="466">
        <f t="shared" si="0"/>
        <v>23</v>
      </c>
      <c r="B31" s="474"/>
      <c r="C31" s="471"/>
      <c r="D31" s="472"/>
      <c r="E31" s="472"/>
      <c r="F31" s="472"/>
      <c r="G31" s="472"/>
      <c r="H31" s="473"/>
      <c r="I31" s="458"/>
    </row>
    <row r="32" spans="1:9" ht="35.1" hidden="1" customHeight="1">
      <c r="A32" s="466">
        <f t="shared" si="0"/>
        <v>24</v>
      </c>
      <c r="B32" s="474"/>
      <c r="C32" s="471"/>
      <c r="D32" s="472"/>
      <c r="E32" s="472"/>
      <c r="F32" s="472"/>
      <c r="G32" s="472"/>
      <c r="H32" s="473"/>
      <c r="I32" s="458"/>
    </row>
    <row r="33" spans="1:9" ht="35.1" hidden="1" customHeight="1">
      <c r="A33" s="466">
        <f t="shared" si="0"/>
        <v>25</v>
      </c>
      <c r="B33" s="474"/>
      <c r="C33" s="471"/>
      <c r="D33" s="475"/>
      <c r="E33" s="472"/>
      <c r="F33" s="472"/>
      <c r="G33" s="472"/>
      <c r="H33" s="473"/>
      <c r="I33" s="458"/>
    </row>
    <row r="34" spans="1:9" ht="35.1" hidden="1" customHeight="1">
      <c r="A34" s="466">
        <f t="shared" si="0"/>
        <v>26</v>
      </c>
      <c r="B34" s="474"/>
      <c r="C34" s="471"/>
      <c r="D34" s="472"/>
      <c r="E34" s="472"/>
      <c r="F34" s="472"/>
      <c r="G34" s="472"/>
      <c r="H34" s="473"/>
      <c r="I34" s="458"/>
    </row>
    <row r="35" spans="1:9" ht="35.1" customHeight="1">
      <c r="A35" s="466">
        <f t="shared" si="0"/>
        <v>27</v>
      </c>
      <c r="B35" s="474"/>
      <c r="C35" s="471"/>
      <c r="D35" s="471"/>
      <c r="E35" s="471"/>
      <c r="F35" s="471"/>
      <c r="G35" s="471"/>
      <c r="H35" s="473"/>
      <c r="I35" s="458"/>
    </row>
    <row r="36" spans="1:9" ht="35.1" customHeight="1">
      <c r="A36" s="466">
        <f t="shared" si="0"/>
        <v>28</v>
      </c>
      <c r="B36" s="500" t="s">
        <v>345</v>
      </c>
      <c r="C36" s="501">
        <f>SUBTOTAL(9,C26:C35)</f>
        <v>0</v>
      </c>
      <c r="D36" s="488">
        <f>SUM(D26:D35)</f>
        <v>0</v>
      </c>
      <c r="E36" s="488">
        <f>SUM(E26:E35)</f>
        <v>0</v>
      </c>
      <c r="F36" s="488">
        <f>SUM(F26:F35)</f>
        <v>0</v>
      </c>
      <c r="G36" s="488">
        <f>SUM(G26:G35)</f>
        <v>0</v>
      </c>
      <c r="H36" s="476"/>
      <c r="I36" s="458"/>
    </row>
    <row r="37" spans="1:9" ht="35.1" customHeight="1">
      <c r="A37" s="466">
        <f t="shared" si="0"/>
        <v>29</v>
      </c>
      <c r="B37" s="502" t="s">
        <v>346</v>
      </c>
      <c r="C37" s="477"/>
      <c r="D37" s="477"/>
      <c r="E37" s="477"/>
      <c r="F37" s="478"/>
      <c r="G37" s="479"/>
      <c r="H37" s="473"/>
      <c r="I37" s="458"/>
    </row>
    <row r="38" spans="1:9" ht="35.1" customHeight="1">
      <c r="A38" s="466">
        <f t="shared" si="0"/>
        <v>30</v>
      </c>
      <c r="B38" s="503" t="s">
        <v>347</v>
      </c>
      <c r="C38" s="480"/>
      <c r="D38" s="480"/>
      <c r="E38" s="480"/>
      <c r="F38" s="480"/>
      <c r="G38" s="480"/>
      <c r="H38" s="481"/>
      <c r="I38" s="458"/>
    </row>
    <row r="39" spans="1:9" ht="35.1" customHeight="1" thickBot="1">
      <c r="A39" s="466">
        <f t="shared" si="0"/>
        <v>31</v>
      </c>
      <c r="B39" s="504" t="s">
        <v>20</v>
      </c>
      <c r="C39" s="505">
        <f>+C36-C37-C38</f>
        <v>0</v>
      </c>
      <c r="D39" s="505">
        <f>+D36-D37-D38</f>
        <v>0</v>
      </c>
      <c r="E39" s="505">
        <f>+E36-E37-E38</f>
        <v>0</v>
      </c>
      <c r="F39" s="505">
        <f>+F36-F37-F38</f>
        <v>0</v>
      </c>
      <c r="G39" s="505">
        <f>+G36-G37-G38</f>
        <v>0</v>
      </c>
      <c r="H39" s="506"/>
      <c r="I39" s="458"/>
    </row>
    <row r="40" spans="1:9" ht="14.1" customHeight="1" thickTop="1">
      <c r="A40" s="466">
        <f t="shared" si="0"/>
        <v>32</v>
      </c>
      <c r="B40" s="489" t="s">
        <v>348</v>
      </c>
      <c r="C40" s="490"/>
      <c r="D40" s="492"/>
      <c r="E40" s="491"/>
      <c r="F40" s="482"/>
      <c r="G40" s="507"/>
      <c r="H40" s="482"/>
    </row>
    <row r="41" spans="1:9" ht="14.1" customHeight="1">
      <c r="A41" s="466">
        <f t="shared" si="0"/>
        <v>33</v>
      </c>
      <c r="B41" s="1724" t="s">
        <v>349</v>
      </c>
      <c r="C41" s="1725"/>
      <c r="D41" s="1725"/>
      <c r="E41" s="1725"/>
      <c r="F41" s="1725"/>
      <c r="G41" s="1725"/>
      <c r="H41" s="482"/>
    </row>
    <row r="42" spans="1:9" ht="14.1" customHeight="1">
      <c r="A42" s="466">
        <f t="shared" si="0"/>
        <v>34</v>
      </c>
      <c r="B42" s="497" t="s">
        <v>350</v>
      </c>
      <c r="C42" s="482"/>
      <c r="D42" s="489"/>
      <c r="E42" s="489"/>
      <c r="F42" s="491"/>
      <c r="G42" s="491"/>
      <c r="H42" s="482"/>
    </row>
    <row r="43" spans="1:9" ht="14.1" customHeight="1">
      <c r="A43" s="466">
        <f t="shared" si="0"/>
        <v>35</v>
      </c>
      <c r="B43" s="497" t="s">
        <v>351</v>
      </c>
      <c r="C43" s="482"/>
      <c r="D43" s="489"/>
      <c r="E43" s="489"/>
      <c r="F43" s="491"/>
      <c r="G43" s="491"/>
      <c r="H43" s="482"/>
    </row>
    <row r="44" spans="1:9" ht="14.1" customHeight="1">
      <c r="A44" s="466">
        <f t="shared" si="0"/>
        <v>36</v>
      </c>
      <c r="B44" s="497" t="s">
        <v>352</v>
      </c>
      <c r="C44" s="482"/>
      <c r="D44" s="489"/>
      <c r="E44" s="489"/>
      <c r="F44" s="491"/>
      <c r="G44" s="491"/>
      <c r="H44" s="482"/>
    </row>
    <row r="45" spans="1:9" ht="35.1" customHeight="1">
      <c r="A45" s="466">
        <f t="shared" si="0"/>
        <v>37</v>
      </c>
      <c r="B45" s="1724" t="s">
        <v>760</v>
      </c>
      <c r="C45" s="1724"/>
      <c r="D45" s="1724"/>
      <c r="E45" s="1724"/>
      <c r="F45" s="1724"/>
      <c r="G45" s="1724"/>
      <c r="H45" s="483"/>
    </row>
    <row r="46" spans="1:9" ht="14.1" customHeight="1">
      <c r="A46" s="466">
        <f t="shared" si="0"/>
        <v>38</v>
      </c>
      <c r="B46" s="495"/>
      <c r="C46" s="495"/>
      <c r="D46" s="495"/>
      <c r="E46" s="495"/>
      <c r="F46" s="495"/>
      <c r="G46" s="495"/>
      <c r="H46" s="483"/>
    </row>
    <row r="47" spans="1:9" s="674" customFormat="1" ht="14.1" customHeight="1">
      <c r="A47" s="466">
        <f t="shared" si="0"/>
        <v>39</v>
      </c>
      <c r="B47" s="1720" t="str">
        <f>+B1</f>
        <v>MidAmerican Central California Transco, LLC</v>
      </c>
      <c r="C47" s="1721"/>
      <c r="D47" s="1721"/>
      <c r="E47" s="1721"/>
      <c r="F47" s="1721"/>
      <c r="G47" s="1721"/>
      <c r="H47" s="1721"/>
      <c r="I47" s="675"/>
    </row>
    <row r="48" spans="1:9" s="674" customFormat="1" ht="14.1" customHeight="1">
      <c r="A48" s="466">
        <f t="shared" si="0"/>
        <v>40</v>
      </c>
      <c r="B48" s="1720" t="s">
        <v>359</v>
      </c>
      <c r="C48" s="1720"/>
      <c r="D48" s="1720"/>
      <c r="E48" s="1720"/>
      <c r="F48" s="1720"/>
      <c r="G48" s="1720"/>
      <c r="H48" s="1720"/>
      <c r="I48" s="675"/>
    </row>
    <row r="49" spans="1:9" s="674" customFormat="1" ht="14.1" customHeight="1">
      <c r="A49" s="466">
        <f t="shared" si="0"/>
        <v>41</v>
      </c>
      <c r="B49" s="1727" t="s">
        <v>139</v>
      </c>
      <c r="C49" s="1727"/>
      <c r="D49" s="1727"/>
      <c r="E49" s="1727"/>
      <c r="F49" s="1727"/>
      <c r="G49" s="1727"/>
      <c r="H49" s="1727"/>
      <c r="I49" s="675"/>
    </row>
    <row r="50" spans="1:9" s="455" customFormat="1" ht="14.1" customHeight="1">
      <c r="A50" s="466">
        <f t="shared" si="0"/>
        <v>42</v>
      </c>
      <c r="B50" s="677"/>
      <c r="C50" s="677"/>
      <c r="D50" s="677"/>
      <c r="E50" s="677"/>
      <c r="F50" s="677"/>
      <c r="G50" s="677"/>
      <c r="H50" s="677"/>
      <c r="I50" s="460"/>
    </row>
    <row r="51" spans="1:9" s="455" customFormat="1" ht="14.1" customHeight="1">
      <c r="A51" s="466">
        <f t="shared" si="0"/>
        <v>43</v>
      </c>
      <c r="B51" s="499" t="s">
        <v>76</v>
      </c>
      <c r="C51" s="499" t="s">
        <v>77</v>
      </c>
      <c r="D51" s="499" t="s">
        <v>78</v>
      </c>
      <c r="E51" s="499" t="s">
        <v>79</v>
      </c>
      <c r="F51" s="499" t="s">
        <v>80</v>
      </c>
      <c r="G51" s="499" t="s">
        <v>81</v>
      </c>
      <c r="H51" s="499" t="s">
        <v>83</v>
      </c>
      <c r="I51" s="460"/>
    </row>
    <row r="52" spans="1:9" s="455" customFormat="1" ht="14.1" customHeight="1">
      <c r="A52" s="466">
        <f t="shared" si="0"/>
        <v>44</v>
      </c>
      <c r="B52" s="465"/>
      <c r="C52" s="499" t="s">
        <v>20</v>
      </c>
      <c r="D52" s="499" t="s">
        <v>342</v>
      </c>
      <c r="E52" s="498"/>
      <c r="F52" s="498"/>
      <c r="G52" s="498"/>
      <c r="H52" s="465"/>
      <c r="I52" s="460"/>
    </row>
    <row r="53" spans="1:9" s="455" customFormat="1" ht="14.1" customHeight="1">
      <c r="A53" s="466">
        <f t="shared" si="0"/>
        <v>45</v>
      </c>
      <c r="B53" s="489" t="s">
        <v>332</v>
      </c>
      <c r="C53" s="499"/>
      <c r="D53" s="499" t="s">
        <v>343</v>
      </c>
      <c r="E53" s="499" t="s">
        <v>25</v>
      </c>
      <c r="F53" s="499" t="s">
        <v>330</v>
      </c>
      <c r="G53" s="499" t="s">
        <v>325</v>
      </c>
      <c r="H53" s="465"/>
      <c r="I53" s="460"/>
    </row>
    <row r="54" spans="1:9" s="455" customFormat="1" ht="14.1" customHeight="1">
      <c r="A54" s="466">
        <f t="shared" si="0"/>
        <v>46</v>
      </c>
      <c r="B54" s="497"/>
      <c r="C54" s="499"/>
      <c r="D54" s="499" t="s">
        <v>331</v>
      </c>
      <c r="E54" s="499" t="s">
        <v>331</v>
      </c>
      <c r="F54" s="499" t="s">
        <v>331</v>
      </c>
      <c r="G54" s="499" t="s">
        <v>331</v>
      </c>
      <c r="H54" s="499" t="s">
        <v>344</v>
      </c>
      <c r="I54" s="460"/>
    </row>
    <row r="55" spans="1:9" ht="14.1" customHeight="1">
      <c r="A55" s="466">
        <f t="shared" si="0"/>
        <v>47</v>
      </c>
      <c r="B55" s="527"/>
      <c r="C55" s="471"/>
      <c r="D55" s="472"/>
      <c r="E55" s="472"/>
      <c r="F55" s="472"/>
      <c r="G55" s="472"/>
      <c r="H55" s="526"/>
      <c r="I55" s="458"/>
    </row>
    <row r="56" spans="1:9" ht="14.1" customHeight="1">
      <c r="A56" s="466">
        <f t="shared" si="0"/>
        <v>48</v>
      </c>
      <c r="B56" s="474"/>
      <c r="C56" s="471"/>
      <c r="D56" s="472"/>
      <c r="E56" s="472"/>
      <c r="F56" s="472"/>
      <c r="G56" s="472"/>
      <c r="H56" s="473"/>
      <c r="I56" s="458"/>
    </row>
    <row r="57" spans="1:9" ht="14.1" customHeight="1">
      <c r="A57" s="466">
        <f t="shared" si="0"/>
        <v>49</v>
      </c>
      <c r="B57" s="474"/>
      <c r="C57" s="471"/>
      <c r="D57" s="472"/>
      <c r="E57" s="472"/>
      <c r="F57" s="472"/>
      <c r="G57" s="472"/>
      <c r="H57" s="473"/>
      <c r="I57" s="458"/>
    </row>
    <row r="58" spans="1:9" ht="14.1" customHeight="1">
      <c r="A58" s="466">
        <f t="shared" si="0"/>
        <v>50</v>
      </c>
      <c r="B58" s="474"/>
      <c r="C58" s="471"/>
      <c r="D58" s="472"/>
      <c r="E58" s="472"/>
      <c r="F58" s="472"/>
      <c r="G58" s="472"/>
      <c r="H58" s="473"/>
      <c r="I58" s="458"/>
    </row>
    <row r="59" spans="1:9" ht="14.1" customHeight="1">
      <c r="A59" s="466">
        <f t="shared" si="0"/>
        <v>51</v>
      </c>
      <c r="B59" s="474"/>
      <c r="C59" s="472"/>
      <c r="D59" s="472"/>
      <c r="E59" s="472"/>
      <c r="F59" s="472"/>
      <c r="G59" s="472"/>
      <c r="H59" s="473"/>
      <c r="I59" s="458"/>
    </row>
    <row r="60" spans="1:9" ht="14.1" customHeight="1">
      <c r="A60" s="466">
        <f t="shared" si="0"/>
        <v>52</v>
      </c>
      <c r="B60" s="474"/>
      <c r="C60" s="472"/>
      <c r="D60" s="472"/>
      <c r="E60" s="472"/>
      <c r="F60" s="472"/>
      <c r="G60" s="472"/>
      <c r="H60" s="473"/>
      <c r="I60" s="458"/>
    </row>
    <row r="61" spans="1:9" ht="14.1" customHeight="1">
      <c r="A61" s="466">
        <f t="shared" si="0"/>
        <v>53</v>
      </c>
      <c r="B61" s="485"/>
      <c r="C61" s="486"/>
      <c r="D61" s="486"/>
      <c r="E61" s="486"/>
      <c r="F61" s="486"/>
      <c r="G61" s="486"/>
      <c r="H61" s="473"/>
      <c r="I61" s="458"/>
    </row>
    <row r="62" spans="1:9" ht="14.1" customHeight="1">
      <c r="A62" s="466">
        <f t="shared" si="0"/>
        <v>54</v>
      </c>
      <c r="B62" s="487"/>
      <c r="C62" s="486"/>
      <c r="D62" s="486"/>
      <c r="E62" s="486"/>
      <c r="F62" s="486"/>
      <c r="G62" s="486"/>
      <c r="H62" s="473"/>
      <c r="I62" s="458"/>
    </row>
    <row r="63" spans="1:9" ht="14.1" customHeight="1">
      <c r="A63" s="466">
        <f t="shared" si="0"/>
        <v>55</v>
      </c>
      <c r="B63" s="487"/>
      <c r="C63" s="486"/>
      <c r="D63" s="486"/>
      <c r="E63" s="486"/>
      <c r="F63" s="486"/>
      <c r="G63" s="486"/>
      <c r="H63" s="473"/>
      <c r="I63" s="458"/>
    </row>
    <row r="64" spans="1:9" ht="35.1" customHeight="1">
      <c r="A64" s="466">
        <f t="shared" si="0"/>
        <v>56</v>
      </c>
      <c r="B64" s="508" t="s">
        <v>353</v>
      </c>
      <c r="C64" s="488">
        <f>SUBTOTAL(9,C55:C63)</f>
        <v>0</v>
      </c>
      <c r="D64" s="488">
        <f>SUM(D55:D63)</f>
        <v>0</v>
      </c>
      <c r="E64" s="488">
        <f>SUM(E55:E63)</f>
        <v>0</v>
      </c>
      <c r="F64" s="488">
        <f>SUM(F55:F63)</f>
        <v>0</v>
      </c>
      <c r="G64" s="488">
        <f>SUM(G55:G63)</f>
        <v>0</v>
      </c>
      <c r="H64" s="476"/>
      <c r="I64" s="458"/>
    </row>
    <row r="65" spans="1:9" ht="35.1" customHeight="1">
      <c r="A65" s="466">
        <f t="shared" si="0"/>
        <v>57</v>
      </c>
      <c r="B65" s="509" t="s">
        <v>346</v>
      </c>
      <c r="C65" s="477"/>
      <c r="D65" s="477"/>
      <c r="E65" s="477"/>
      <c r="F65" s="477"/>
      <c r="G65" s="477"/>
      <c r="H65" s="473"/>
      <c r="I65" s="458"/>
    </row>
    <row r="66" spans="1:9" ht="35.1" customHeight="1">
      <c r="A66" s="466">
        <f t="shared" si="0"/>
        <v>58</v>
      </c>
      <c r="B66" s="510" t="s">
        <v>347</v>
      </c>
      <c r="C66" s="480"/>
      <c r="D66" s="480"/>
      <c r="E66" s="480"/>
      <c r="F66" s="480"/>
      <c r="G66" s="480"/>
      <c r="H66" s="481"/>
      <c r="I66" s="458"/>
    </row>
    <row r="67" spans="1:9" ht="35.1" customHeight="1" thickBot="1">
      <c r="A67" s="466">
        <f t="shared" si="0"/>
        <v>59</v>
      </c>
      <c r="B67" s="504" t="s">
        <v>20</v>
      </c>
      <c r="C67" s="505">
        <f>+C64-C65-C66</f>
        <v>0</v>
      </c>
      <c r="D67" s="505">
        <f>+D64-D65-D66</f>
        <v>0</v>
      </c>
      <c r="E67" s="505">
        <f>+E64-E65-E66</f>
        <v>0</v>
      </c>
      <c r="F67" s="505">
        <f>+F64-F65-F66</f>
        <v>0</v>
      </c>
      <c r="G67" s="505">
        <f>+G64-G65-G66</f>
        <v>0</v>
      </c>
      <c r="H67" s="506"/>
      <c r="I67" s="458"/>
    </row>
    <row r="68" spans="1:9" ht="14.1" customHeight="1" thickTop="1">
      <c r="A68" s="466">
        <f t="shared" si="0"/>
        <v>60</v>
      </c>
      <c r="B68" s="484"/>
      <c r="C68" s="482"/>
      <c r="D68" s="489"/>
      <c r="E68" s="490"/>
      <c r="F68" s="491"/>
      <c r="G68" s="492"/>
      <c r="H68" s="483"/>
      <c r="I68" s="458"/>
    </row>
    <row r="69" spans="1:9" ht="14.1" customHeight="1">
      <c r="A69" s="466">
        <f t="shared" si="0"/>
        <v>61</v>
      </c>
      <c r="B69" s="489" t="s">
        <v>354</v>
      </c>
      <c r="C69" s="489"/>
      <c r="D69" s="491"/>
      <c r="E69" s="492"/>
      <c r="F69" s="482"/>
      <c r="G69" s="483"/>
      <c r="H69" s="482"/>
    </row>
    <row r="70" spans="1:9" ht="14.1" customHeight="1">
      <c r="A70" s="466">
        <f t="shared" si="0"/>
        <v>62</v>
      </c>
      <c r="B70" s="1724" t="s">
        <v>349</v>
      </c>
      <c r="C70" s="1725"/>
      <c r="D70" s="1725"/>
      <c r="E70" s="1725"/>
      <c r="F70" s="1725"/>
      <c r="G70" s="1725"/>
      <c r="H70" s="482"/>
    </row>
    <row r="71" spans="1:9" ht="14.1" customHeight="1">
      <c r="A71" s="466">
        <f t="shared" si="0"/>
        <v>63</v>
      </c>
      <c r="B71" s="497" t="s">
        <v>350</v>
      </c>
      <c r="C71" s="482"/>
      <c r="D71" s="489"/>
      <c r="E71" s="489"/>
      <c r="F71" s="491"/>
      <c r="G71" s="491"/>
      <c r="H71" s="482"/>
    </row>
    <row r="72" spans="1:9" ht="14.1" customHeight="1">
      <c r="A72" s="466">
        <f t="shared" si="0"/>
        <v>64</v>
      </c>
      <c r="B72" s="497" t="s">
        <v>351</v>
      </c>
      <c r="C72" s="482"/>
      <c r="D72" s="489"/>
      <c r="E72" s="489"/>
      <c r="F72" s="491"/>
      <c r="G72" s="491"/>
      <c r="H72" s="482"/>
    </row>
    <row r="73" spans="1:9" ht="14.1" customHeight="1">
      <c r="A73" s="466">
        <f t="shared" si="0"/>
        <v>65</v>
      </c>
      <c r="B73" s="497" t="s">
        <v>352</v>
      </c>
      <c r="C73" s="482"/>
      <c r="D73" s="489"/>
      <c r="E73" s="489"/>
      <c r="F73" s="491"/>
      <c r="G73" s="491"/>
      <c r="H73" s="482"/>
    </row>
    <row r="74" spans="1:9" ht="35.1" customHeight="1">
      <c r="A74" s="466">
        <f t="shared" si="0"/>
        <v>66</v>
      </c>
      <c r="B74" s="1724" t="s">
        <v>577</v>
      </c>
      <c r="C74" s="1724"/>
      <c r="D74" s="1724"/>
      <c r="E74" s="1724"/>
      <c r="F74" s="1724"/>
      <c r="G74" s="1724"/>
      <c r="H74" s="483"/>
    </row>
    <row r="75" spans="1:9" s="674" customFormat="1" ht="18">
      <c r="A75" s="466">
        <f t="shared" ref="A75:A102" si="1">+A74+1</f>
        <v>67</v>
      </c>
      <c r="B75" s="1720" t="str">
        <f>+B47</f>
        <v>MidAmerican Central California Transco, LLC</v>
      </c>
      <c r="C75" s="1721"/>
      <c r="D75" s="1721"/>
      <c r="E75" s="1721"/>
      <c r="F75" s="1721"/>
      <c r="G75" s="1721"/>
      <c r="H75" s="1721"/>
      <c r="I75" s="675"/>
    </row>
    <row r="76" spans="1:9" s="674" customFormat="1" ht="18">
      <c r="A76" s="466">
        <f t="shared" si="1"/>
        <v>68</v>
      </c>
      <c r="B76" s="1720" t="s">
        <v>359</v>
      </c>
      <c r="C76" s="1720"/>
      <c r="D76" s="1720"/>
      <c r="E76" s="1720"/>
      <c r="F76" s="1720"/>
      <c r="G76" s="1720"/>
      <c r="H76" s="1720"/>
      <c r="I76" s="675"/>
    </row>
    <row r="77" spans="1:9" s="674" customFormat="1" ht="18">
      <c r="A77" s="466">
        <f t="shared" si="1"/>
        <v>69</v>
      </c>
      <c r="B77" s="1727" t="s">
        <v>139</v>
      </c>
      <c r="C77" s="1727"/>
      <c r="D77" s="1727"/>
      <c r="E77" s="1727"/>
      <c r="F77" s="1727"/>
      <c r="G77" s="1727"/>
      <c r="H77" s="1727"/>
      <c r="I77" s="675"/>
    </row>
    <row r="78" spans="1:9" s="455" customFormat="1" ht="24.95" customHeight="1">
      <c r="A78" s="466">
        <f t="shared" si="1"/>
        <v>70</v>
      </c>
      <c r="B78" s="497"/>
      <c r="C78" s="489"/>
      <c r="D78" s="489"/>
      <c r="E78" s="489"/>
      <c r="F78" s="489"/>
      <c r="G78" s="489"/>
      <c r="H78" s="483"/>
      <c r="I78" s="460"/>
    </row>
    <row r="79" spans="1:9" s="455" customFormat="1" ht="14.1" customHeight="1">
      <c r="A79" s="466">
        <f t="shared" si="1"/>
        <v>71</v>
      </c>
      <c r="B79" s="499" t="s">
        <v>76</v>
      </c>
      <c r="C79" s="499" t="s">
        <v>77</v>
      </c>
      <c r="D79" s="499" t="s">
        <v>78</v>
      </c>
      <c r="E79" s="499" t="s">
        <v>79</v>
      </c>
      <c r="F79" s="499" t="s">
        <v>80</v>
      </c>
      <c r="G79" s="499" t="s">
        <v>81</v>
      </c>
      <c r="H79" s="499" t="s">
        <v>83</v>
      </c>
      <c r="I79" s="460"/>
    </row>
    <row r="80" spans="1:9" s="455" customFormat="1" ht="14.1" customHeight="1">
      <c r="A80" s="466">
        <f t="shared" si="1"/>
        <v>72</v>
      </c>
      <c r="B80" s="489"/>
      <c r="C80" s="499" t="s">
        <v>20</v>
      </c>
      <c r="D80" s="499" t="s">
        <v>342</v>
      </c>
      <c r="E80" s="498"/>
      <c r="F80" s="498"/>
      <c r="G80" s="498"/>
      <c r="H80" s="465"/>
      <c r="I80" s="460"/>
    </row>
    <row r="81" spans="1:9" s="455" customFormat="1" ht="14.1" customHeight="1">
      <c r="A81" s="466">
        <f t="shared" si="1"/>
        <v>73</v>
      </c>
      <c r="B81" s="489" t="s">
        <v>360</v>
      </c>
      <c r="C81" s="499"/>
      <c r="D81" s="499" t="s">
        <v>343</v>
      </c>
      <c r="E81" s="499" t="s">
        <v>25</v>
      </c>
      <c r="F81" s="499" t="s">
        <v>330</v>
      </c>
      <c r="G81" s="499" t="s">
        <v>325</v>
      </c>
      <c r="H81" s="465"/>
      <c r="I81" s="460"/>
    </row>
    <row r="82" spans="1:9" s="455" customFormat="1" ht="14.1" customHeight="1">
      <c r="A82" s="466">
        <f t="shared" si="1"/>
        <v>74</v>
      </c>
      <c r="B82" s="489"/>
      <c r="C82" s="499"/>
      <c r="D82" s="499" t="s">
        <v>331</v>
      </c>
      <c r="E82" s="499" t="s">
        <v>331</v>
      </c>
      <c r="F82" s="499" t="s">
        <v>331</v>
      </c>
      <c r="G82" s="499" t="s">
        <v>331</v>
      </c>
      <c r="H82" s="465"/>
      <c r="I82" s="460"/>
    </row>
    <row r="83" spans="1:9" ht="35.1" customHeight="1">
      <c r="A83" s="466">
        <f t="shared" si="1"/>
        <v>75</v>
      </c>
      <c r="B83" s="1499" t="s">
        <v>1080</v>
      </c>
      <c r="C83" s="1502">
        <v>-414564</v>
      </c>
      <c r="D83" s="472"/>
      <c r="E83" s="1503">
        <v>-414564</v>
      </c>
      <c r="F83" s="472"/>
      <c r="G83" s="472"/>
      <c r="H83" s="473" t="s">
        <v>1204</v>
      </c>
      <c r="I83" s="458"/>
    </row>
    <row r="84" spans="1:9" ht="35.1" customHeight="1">
      <c r="A84" s="466">
        <f t="shared" si="1"/>
        <v>76</v>
      </c>
      <c r="B84" s="474" t="s">
        <v>1189</v>
      </c>
      <c r="C84" s="471">
        <v>-1209428</v>
      </c>
      <c r="D84" s="472"/>
      <c r="E84" s="472">
        <v>-1209428</v>
      </c>
      <c r="F84" s="472"/>
      <c r="G84" s="472"/>
      <c r="H84" s="473" t="s">
        <v>1205</v>
      </c>
      <c r="I84" s="458"/>
    </row>
    <row r="85" spans="1:9" ht="35.1" customHeight="1">
      <c r="A85" s="466">
        <f t="shared" si="1"/>
        <v>77</v>
      </c>
      <c r="B85" s="474" t="s">
        <v>1190</v>
      </c>
      <c r="C85" s="471">
        <v>-417009</v>
      </c>
      <c r="D85" s="472"/>
      <c r="E85" s="472">
        <v>-417009</v>
      </c>
      <c r="F85" s="472"/>
      <c r="G85" s="472"/>
      <c r="H85" s="473" t="s">
        <v>1087</v>
      </c>
      <c r="I85" s="458"/>
    </row>
    <row r="86" spans="1:9" ht="13.5" customHeight="1">
      <c r="A86" s="466">
        <f t="shared" si="1"/>
        <v>78</v>
      </c>
      <c r="B86" s="474"/>
      <c r="C86" s="471"/>
      <c r="D86" s="472"/>
      <c r="E86" s="472"/>
      <c r="F86" s="472"/>
      <c r="G86" s="472"/>
      <c r="H86" s="473"/>
      <c r="I86" s="458"/>
    </row>
    <row r="87" spans="1:9" ht="14.1" customHeight="1">
      <c r="A87" s="466">
        <f t="shared" si="1"/>
        <v>79</v>
      </c>
      <c r="B87" s="474"/>
      <c r="C87" s="472"/>
      <c r="D87" s="486"/>
      <c r="E87" s="472"/>
      <c r="F87" s="472"/>
      <c r="G87" s="472"/>
      <c r="H87" s="473"/>
      <c r="I87" s="458"/>
    </row>
    <row r="88" spans="1:9" ht="14.1" customHeight="1">
      <c r="A88" s="466">
        <f t="shared" si="1"/>
        <v>80</v>
      </c>
      <c r="B88" s="474"/>
      <c r="C88" s="472"/>
      <c r="D88" s="486"/>
      <c r="E88" s="472"/>
      <c r="F88" s="472"/>
      <c r="G88" s="472"/>
      <c r="H88" s="473"/>
      <c r="I88" s="458"/>
    </row>
    <row r="89" spans="1:9" ht="14.1" customHeight="1">
      <c r="A89" s="466">
        <f t="shared" si="1"/>
        <v>81</v>
      </c>
      <c r="B89" s="474"/>
      <c r="C89" s="472"/>
      <c r="D89" s="486"/>
      <c r="E89" s="472"/>
      <c r="F89" s="472"/>
      <c r="G89" s="472"/>
      <c r="H89" s="473"/>
      <c r="I89" s="458"/>
    </row>
    <row r="90" spans="1:9" ht="14.1" customHeight="1">
      <c r="A90" s="466">
        <f t="shared" si="1"/>
        <v>82</v>
      </c>
      <c r="B90" s="474"/>
      <c r="C90" s="472"/>
      <c r="D90" s="475"/>
      <c r="E90" s="472"/>
      <c r="F90" s="472"/>
      <c r="G90" s="472"/>
      <c r="H90" s="473"/>
      <c r="I90" s="458"/>
    </row>
    <row r="91" spans="1:9" ht="14.1" customHeight="1">
      <c r="A91" s="466">
        <f t="shared" si="1"/>
        <v>83</v>
      </c>
      <c r="B91" s="474"/>
      <c r="C91" s="472"/>
      <c r="D91" s="472"/>
      <c r="E91" s="472"/>
      <c r="F91" s="472"/>
      <c r="G91" s="472"/>
      <c r="H91" s="473"/>
      <c r="I91" s="458"/>
    </row>
    <row r="92" spans="1:9" ht="14.1" customHeight="1">
      <c r="A92" s="466">
        <f t="shared" si="1"/>
        <v>84</v>
      </c>
      <c r="B92" s="474"/>
      <c r="C92" s="472"/>
      <c r="D92" s="472"/>
      <c r="E92" s="472"/>
      <c r="F92" s="472"/>
      <c r="G92" s="472"/>
      <c r="H92" s="473"/>
      <c r="I92" s="458"/>
    </row>
    <row r="93" spans="1:9" ht="20.100000000000001" customHeight="1">
      <c r="A93" s="466">
        <f t="shared" si="1"/>
        <v>85</v>
      </c>
      <c r="B93" s="511" t="s">
        <v>355</v>
      </c>
      <c r="C93" s="501">
        <f>SUBTOTAL(9,C83:C92)</f>
        <v>-2041001</v>
      </c>
      <c r="D93" s="501">
        <f>SUM(D83:D92)</f>
        <v>0</v>
      </c>
      <c r="E93" s="501">
        <f>SUM(E83:E92)</f>
        <v>-2041001</v>
      </c>
      <c r="F93" s="501">
        <f>SUM(F83:F92)</f>
        <v>0</v>
      </c>
      <c r="G93" s="501">
        <f>SUM(G83:G92)</f>
        <v>0</v>
      </c>
      <c r="H93" s="473"/>
      <c r="I93" s="458"/>
    </row>
    <row r="94" spans="1:9" ht="20.100000000000001" customHeight="1">
      <c r="A94" s="466">
        <f t="shared" si="1"/>
        <v>86</v>
      </c>
      <c r="B94" s="512" t="s">
        <v>346</v>
      </c>
      <c r="C94" s="478"/>
      <c r="D94" s="478"/>
      <c r="E94" s="478"/>
      <c r="F94" s="478"/>
      <c r="G94" s="478"/>
      <c r="H94" s="473"/>
      <c r="I94" s="458"/>
    </row>
    <row r="95" spans="1:9" ht="20.100000000000001" customHeight="1">
      <c r="A95" s="466">
        <f t="shared" si="1"/>
        <v>87</v>
      </c>
      <c r="B95" s="513" t="s">
        <v>347</v>
      </c>
      <c r="C95" s="493"/>
      <c r="D95" s="493"/>
      <c r="E95" s="493"/>
      <c r="F95" s="493"/>
      <c r="G95" s="493"/>
      <c r="H95" s="481"/>
      <c r="I95" s="458"/>
    </row>
    <row r="96" spans="1:9" ht="20.100000000000001" customHeight="1" thickBot="1">
      <c r="A96" s="466">
        <f t="shared" si="1"/>
        <v>88</v>
      </c>
      <c r="B96" s="504" t="s">
        <v>20</v>
      </c>
      <c r="C96" s="514">
        <f>+C93-C94-C95</f>
        <v>-2041001</v>
      </c>
      <c r="D96" s="514">
        <f>+D93-D94-D95</f>
        <v>0</v>
      </c>
      <c r="E96" s="514">
        <f>+E93-E94-E95</f>
        <v>-2041001</v>
      </c>
      <c r="F96" s="514">
        <f>+F93-F94-F95</f>
        <v>0</v>
      </c>
      <c r="G96" s="514">
        <f>+G93-G94-G95</f>
        <v>0</v>
      </c>
      <c r="H96" s="506"/>
      <c r="I96" s="458"/>
    </row>
    <row r="97" spans="1:9" ht="26.25" customHeight="1" thickTop="1">
      <c r="A97" s="466">
        <f t="shared" si="1"/>
        <v>89</v>
      </c>
      <c r="B97" s="515" t="s">
        <v>356</v>
      </c>
      <c r="C97" s="489"/>
      <c r="D97" s="489"/>
      <c r="E97" s="491"/>
      <c r="F97" s="491"/>
      <c r="G97" s="482"/>
      <c r="H97" s="494"/>
      <c r="I97" s="458"/>
    </row>
    <row r="98" spans="1:9" ht="20.100000000000001" customHeight="1">
      <c r="A98" s="466">
        <f t="shared" si="1"/>
        <v>90</v>
      </c>
      <c r="B98" s="1724" t="s">
        <v>349</v>
      </c>
      <c r="C98" s="1725"/>
      <c r="D98" s="1725"/>
      <c r="E98" s="1725"/>
      <c r="F98" s="1725"/>
      <c r="G98" s="1725"/>
      <c r="H98" s="482"/>
    </row>
    <row r="99" spans="1:9" ht="20.100000000000001" customHeight="1">
      <c r="A99" s="466">
        <f t="shared" si="1"/>
        <v>91</v>
      </c>
      <c r="B99" s="497" t="s">
        <v>350</v>
      </c>
      <c r="C99" s="482"/>
      <c r="D99" s="489"/>
      <c r="E99" s="489"/>
      <c r="F99" s="491"/>
      <c r="G99" s="491"/>
      <c r="H99" s="482"/>
    </row>
    <row r="100" spans="1:9" ht="20.100000000000001" customHeight="1">
      <c r="A100" s="466">
        <f t="shared" si="1"/>
        <v>92</v>
      </c>
      <c r="B100" s="497" t="s">
        <v>351</v>
      </c>
      <c r="C100" s="482"/>
      <c r="D100" s="489"/>
      <c r="E100" s="489"/>
      <c r="F100" s="491"/>
      <c r="G100" s="491"/>
      <c r="H100" s="482"/>
    </row>
    <row r="101" spans="1:9" ht="20.100000000000001" customHeight="1">
      <c r="A101" s="466">
        <f t="shared" si="1"/>
        <v>93</v>
      </c>
      <c r="B101" s="497" t="s">
        <v>352</v>
      </c>
      <c r="C101" s="482"/>
      <c r="D101" s="489"/>
      <c r="E101" s="489"/>
      <c r="F101" s="491"/>
      <c r="G101" s="491"/>
      <c r="H101" s="482"/>
    </row>
    <row r="102" spans="1:9" ht="35.1" customHeight="1">
      <c r="A102" s="466">
        <f t="shared" si="1"/>
        <v>94</v>
      </c>
      <c r="B102" s="1724" t="s">
        <v>577</v>
      </c>
      <c r="C102" s="1724"/>
      <c r="D102" s="1724"/>
      <c r="E102" s="1724"/>
      <c r="F102" s="1724"/>
      <c r="G102" s="1724"/>
      <c r="H102" s="482"/>
    </row>
    <row r="103" spans="1:9" ht="15.75">
      <c r="B103" s="484"/>
      <c r="C103" s="482"/>
      <c r="D103" s="482"/>
      <c r="E103" s="482"/>
      <c r="F103" s="482"/>
      <c r="G103" s="482"/>
      <c r="H103" s="482"/>
      <c r="I103" s="458"/>
    </row>
    <row r="104" spans="1:9" ht="15.75" customHeight="1">
      <c r="B104" s="496"/>
      <c r="C104" s="496"/>
      <c r="D104" s="496"/>
      <c r="E104" s="496"/>
      <c r="F104" s="496"/>
      <c r="G104" s="496"/>
      <c r="H104" s="496"/>
      <c r="I104" s="458"/>
    </row>
    <row r="105" spans="1:9" ht="15.75">
      <c r="B105" s="1726"/>
      <c r="C105" s="1726"/>
      <c r="D105" s="1726"/>
      <c r="E105" s="1726"/>
      <c r="F105" s="1726"/>
      <c r="G105" s="1726"/>
      <c r="H105" s="1726"/>
      <c r="I105" s="459"/>
    </row>
    <row r="106" spans="1:9" ht="15.75">
      <c r="B106" s="489"/>
      <c r="C106" s="489"/>
      <c r="D106" s="489"/>
      <c r="E106" s="489"/>
      <c r="F106" s="489"/>
      <c r="G106" s="489"/>
      <c r="H106" s="489"/>
      <c r="I106" s="458"/>
    </row>
    <row r="107" spans="1:9" ht="15.75">
      <c r="B107" s="489"/>
      <c r="C107" s="489"/>
      <c r="D107" s="489"/>
      <c r="E107" s="489"/>
      <c r="F107" s="489"/>
      <c r="G107" s="489"/>
      <c r="H107" s="489"/>
      <c r="I107" s="458"/>
    </row>
    <row r="108" spans="1:9" ht="15.75" customHeight="1">
      <c r="B108" s="489"/>
      <c r="C108" s="489"/>
      <c r="D108" s="489"/>
      <c r="E108" s="489"/>
      <c r="F108" s="489"/>
      <c r="G108" s="489"/>
      <c r="H108" s="489"/>
      <c r="I108" s="458"/>
    </row>
    <row r="109" spans="1:9" ht="15.75">
      <c r="B109" s="489"/>
      <c r="C109" s="489"/>
      <c r="D109" s="516"/>
      <c r="E109" s="516"/>
      <c r="F109" s="516"/>
      <c r="G109" s="516"/>
      <c r="H109" s="516"/>
      <c r="I109" s="461"/>
    </row>
    <row r="110" spans="1:9" ht="15.75">
      <c r="B110" s="489"/>
      <c r="C110" s="489"/>
      <c r="D110" s="516"/>
      <c r="E110" s="516"/>
      <c r="F110" s="516"/>
      <c r="G110" s="516"/>
      <c r="H110" s="516"/>
      <c r="I110" s="461"/>
    </row>
    <row r="111" spans="1:9" ht="15.75">
      <c r="B111" s="497"/>
      <c r="C111" s="489"/>
      <c r="D111" s="491"/>
      <c r="E111" s="491"/>
      <c r="F111" s="489"/>
      <c r="G111" s="489"/>
      <c r="H111" s="489"/>
      <c r="I111" s="458"/>
    </row>
    <row r="112" spans="1:9" ht="15.75">
      <c r="B112" s="497"/>
      <c r="C112" s="489"/>
      <c r="D112" s="165"/>
      <c r="E112" s="165"/>
      <c r="F112" s="489"/>
      <c r="G112" s="489"/>
      <c r="H112" s="489"/>
      <c r="I112" s="458"/>
    </row>
    <row r="113" spans="2:9" ht="15.75">
      <c r="B113" s="497"/>
      <c r="C113" s="489"/>
      <c r="D113" s="165"/>
      <c r="E113" s="165"/>
      <c r="F113" s="489"/>
      <c r="G113" s="489"/>
      <c r="H113" s="489"/>
      <c r="I113" s="458"/>
    </row>
    <row r="114" spans="2:9" ht="15.75">
      <c r="B114" s="497"/>
      <c r="C114" s="489"/>
      <c r="D114" s="165"/>
      <c r="E114" s="165"/>
      <c r="F114" s="489"/>
      <c r="G114" s="489"/>
      <c r="H114" s="489"/>
      <c r="I114" s="458"/>
    </row>
    <row r="115" spans="2:9" ht="15.75">
      <c r="B115" s="497"/>
      <c r="C115" s="489"/>
      <c r="D115" s="165"/>
      <c r="E115" s="165"/>
      <c r="F115" s="489"/>
      <c r="G115" s="489"/>
      <c r="H115" s="489"/>
      <c r="I115" s="458"/>
    </row>
    <row r="116" spans="2:9" ht="15.75">
      <c r="B116" s="497"/>
      <c r="C116" s="489"/>
      <c r="D116" s="165"/>
      <c r="E116" s="165"/>
      <c r="F116" s="489"/>
      <c r="G116" s="489"/>
      <c r="H116" s="489"/>
      <c r="I116" s="458"/>
    </row>
    <row r="117" spans="2:9" ht="15.75">
      <c r="B117" s="497"/>
      <c r="C117" s="489"/>
      <c r="D117" s="165"/>
      <c r="E117" s="165"/>
      <c r="F117" s="489"/>
      <c r="G117" s="489"/>
      <c r="H117" s="489"/>
      <c r="I117" s="458"/>
    </row>
    <row r="118" spans="2:9" ht="15.75">
      <c r="B118" s="497"/>
      <c r="C118" s="489"/>
      <c r="D118" s="165"/>
      <c r="E118" s="165"/>
      <c r="F118" s="489"/>
      <c r="G118" s="489"/>
      <c r="H118" s="489"/>
      <c r="I118" s="458"/>
    </row>
    <row r="119" spans="2:9" ht="15.75">
      <c r="B119" s="497"/>
      <c r="C119" s="489"/>
      <c r="D119" s="165"/>
      <c r="E119" s="165"/>
      <c r="F119" s="489"/>
      <c r="G119" s="489"/>
      <c r="H119" s="489"/>
      <c r="I119" s="458"/>
    </row>
    <row r="120" spans="2:9" ht="15.75">
      <c r="B120" s="497"/>
      <c r="C120" s="489"/>
      <c r="D120" s="165"/>
      <c r="E120" s="165"/>
      <c r="F120" s="489"/>
      <c r="G120" s="489"/>
      <c r="H120" s="489"/>
      <c r="I120" s="458"/>
    </row>
    <row r="121" spans="2:9" ht="15.75">
      <c r="B121" s="497"/>
      <c r="C121" s="489"/>
      <c r="D121" s="165"/>
      <c r="E121" s="165"/>
      <c r="F121" s="489"/>
      <c r="G121" s="489"/>
      <c r="H121" s="489"/>
      <c r="I121" s="458"/>
    </row>
    <row r="122" spans="2:9" ht="15.75">
      <c r="B122" s="489"/>
      <c r="C122" s="489"/>
      <c r="D122" s="165"/>
      <c r="E122" s="165"/>
      <c r="F122" s="489"/>
      <c r="G122" s="489"/>
      <c r="H122" s="489"/>
      <c r="I122" s="458"/>
    </row>
    <row r="123" spans="2:9" ht="15.75">
      <c r="B123" s="497"/>
      <c r="C123" s="489"/>
      <c r="D123" s="165"/>
      <c r="E123" s="165"/>
      <c r="F123" s="489"/>
      <c r="G123" s="489"/>
      <c r="H123" s="489"/>
      <c r="I123" s="458"/>
    </row>
    <row r="124" spans="2:9" ht="15.75">
      <c r="B124" s="489"/>
      <c r="C124" s="489"/>
      <c r="D124" s="165"/>
      <c r="E124" s="165"/>
      <c r="F124" s="489"/>
      <c r="G124" s="489"/>
      <c r="H124" s="489"/>
      <c r="I124" s="458"/>
    </row>
    <row r="125" spans="2:9" ht="15.75">
      <c r="B125" s="497"/>
      <c r="C125" s="489"/>
      <c r="D125" s="489"/>
      <c r="E125" s="489"/>
      <c r="F125" s="489"/>
      <c r="G125" s="489"/>
      <c r="H125" s="489"/>
      <c r="I125" s="458"/>
    </row>
    <row r="126" spans="2:9" ht="15.75">
      <c r="B126" s="497"/>
      <c r="C126" s="489"/>
      <c r="D126" s="489"/>
      <c r="E126" s="489"/>
      <c r="F126" s="489"/>
      <c r="G126" s="489"/>
      <c r="H126" s="489"/>
    </row>
    <row r="127" spans="2:9" ht="15.75">
      <c r="B127" s="497"/>
      <c r="C127" s="489"/>
      <c r="D127" s="489"/>
      <c r="E127" s="489"/>
      <c r="F127" s="489"/>
      <c r="G127" s="489"/>
      <c r="H127" s="489"/>
    </row>
    <row r="128" spans="2:9" ht="15.75">
      <c r="B128" s="497"/>
      <c r="C128" s="489"/>
      <c r="D128" s="489"/>
      <c r="E128" s="489"/>
      <c r="F128" s="489"/>
      <c r="G128" s="489"/>
      <c r="H128" s="489"/>
    </row>
    <row r="129" spans="2:8" ht="15.75">
      <c r="B129" s="497"/>
      <c r="C129" s="489"/>
      <c r="D129" s="489"/>
      <c r="E129" s="489"/>
      <c r="F129" s="489"/>
      <c r="G129" s="489"/>
      <c r="H129" s="489"/>
    </row>
    <row r="130" spans="2:8" ht="15.75">
      <c r="B130" s="497"/>
      <c r="C130" s="489"/>
      <c r="D130" s="489"/>
      <c r="E130" s="489"/>
      <c r="F130" s="489"/>
      <c r="G130" s="489"/>
      <c r="H130" s="489"/>
    </row>
    <row r="131" spans="2:8" ht="15.75">
      <c r="B131" s="497"/>
      <c r="C131" s="489"/>
      <c r="D131" s="489"/>
      <c r="E131" s="489"/>
      <c r="F131" s="489"/>
      <c r="G131" s="489"/>
      <c r="H131" s="489"/>
    </row>
    <row r="132" spans="2:8" ht="15.75">
      <c r="B132" s="497"/>
      <c r="C132" s="489"/>
      <c r="D132" s="489"/>
      <c r="E132" s="489"/>
      <c r="F132" s="489"/>
      <c r="G132" s="489"/>
      <c r="H132" s="489"/>
    </row>
    <row r="133" spans="2:8" ht="15.75">
      <c r="B133" s="497"/>
      <c r="C133" s="489"/>
      <c r="D133" s="489"/>
      <c r="E133" s="489"/>
      <c r="F133" s="489"/>
      <c r="G133" s="489"/>
      <c r="H133" s="489"/>
    </row>
    <row r="134" spans="2:8" ht="15.75">
      <c r="B134" s="497"/>
      <c r="C134" s="489"/>
      <c r="D134" s="489"/>
      <c r="E134" s="489"/>
      <c r="F134" s="489"/>
      <c r="G134" s="489"/>
      <c r="H134" s="489"/>
    </row>
    <row r="135" spans="2:8" ht="15.75">
      <c r="B135" s="497"/>
      <c r="C135" s="489"/>
      <c r="D135" s="489"/>
      <c r="E135" s="489"/>
      <c r="F135" s="489"/>
      <c r="G135" s="489"/>
      <c r="H135" s="489"/>
    </row>
    <row r="136" spans="2:8" ht="15.75">
      <c r="B136" s="497"/>
      <c r="C136" s="489"/>
      <c r="D136" s="489"/>
      <c r="E136" s="489"/>
      <c r="F136" s="489"/>
      <c r="G136" s="489"/>
      <c r="H136" s="489"/>
    </row>
    <row r="137" spans="2:8" ht="15.75">
      <c r="B137" s="497"/>
      <c r="C137" s="489"/>
      <c r="D137" s="489"/>
      <c r="E137" s="489"/>
      <c r="F137" s="489"/>
      <c r="G137" s="489"/>
      <c r="H137" s="489"/>
    </row>
    <row r="138" spans="2:8" ht="15.75">
      <c r="B138" s="497"/>
      <c r="C138" s="489"/>
      <c r="D138" s="489"/>
      <c r="E138" s="489"/>
      <c r="F138" s="489"/>
      <c r="G138" s="489"/>
      <c r="H138" s="489"/>
    </row>
    <row r="139" spans="2:8" ht="15.75">
      <c r="B139" s="497"/>
      <c r="C139" s="489"/>
      <c r="D139" s="489"/>
      <c r="E139" s="489"/>
      <c r="F139" s="489"/>
      <c r="G139" s="489"/>
      <c r="H139" s="489"/>
    </row>
    <row r="140" spans="2:8" ht="15.75">
      <c r="B140" s="497"/>
      <c r="C140" s="489"/>
      <c r="D140" s="489"/>
      <c r="E140" s="489"/>
      <c r="F140" s="489"/>
      <c r="G140" s="489"/>
      <c r="H140" s="489"/>
    </row>
    <row r="141" spans="2:8" ht="15.75">
      <c r="B141" s="497"/>
      <c r="C141" s="489"/>
      <c r="D141" s="489"/>
      <c r="E141" s="489"/>
      <c r="F141" s="489"/>
      <c r="G141" s="489"/>
      <c r="H141" s="489"/>
    </row>
    <row r="142" spans="2:8" ht="15.75">
      <c r="B142" s="497"/>
      <c r="C142" s="489"/>
      <c r="D142" s="489"/>
      <c r="E142" s="489"/>
      <c r="F142" s="489"/>
      <c r="G142" s="489"/>
      <c r="H142" s="489"/>
    </row>
    <row r="143" spans="2:8" ht="15.75">
      <c r="B143" s="497"/>
      <c r="C143" s="489"/>
      <c r="D143" s="489"/>
      <c r="E143" s="489"/>
      <c r="F143" s="489"/>
      <c r="G143" s="489"/>
      <c r="H143" s="489"/>
    </row>
    <row r="144" spans="2:8" ht="15.75">
      <c r="B144" s="497"/>
      <c r="C144" s="489"/>
      <c r="D144" s="489"/>
      <c r="E144" s="489"/>
      <c r="F144" s="489"/>
      <c r="G144" s="489"/>
      <c r="H144" s="489"/>
    </row>
    <row r="145" spans="2:8" ht="15.75">
      <c r="B145" s="497"/>
      <c r="C145" s="489"/>
      <c r="D145" s="489"/>
      <c r="E145" s="489"/>
      <c r="F145" s="489"/>
      <c r="G145" s="489"/>
      <c r="H145" s="489"/>
    </row>
    <row r="146" spans="2:8" ht="15.75">
      <c r="B146" s="497"/>
      <c r="C146" s="489"/>
      <c r="D146" s="489"/>
      <c r="E146" s="489"/>
      <c r="F146" s="489"/>
      <c r="G146" s="489"/>
      <c r="H146" s="489"/>
    </row>
    <row r="147" spans="2:8" ht="15.75">
      <c r="B147" s="497"/>
      <c r="C147" s="489"/>
      <c r="D147" s="489"/>
      <c r="E147" s="489"/>
      <c r="F147" s="489"/>
      <c r="G147" s="489"/>
      <c r="H147" s="489"/>
    </row>
    <row r="148" spans="2:8" ht="15.75">
      <c r="B148" s="497"/>
      <c r="C148" s="489"/>
      <c r="D148" s="489"/>
      <c r="E148" s="489"/>
      <c r="F148" s="489"/>
      <c r="G148" s="489"/>
      <c r="H148" s="489"/>
    </row>
    <row r="149" spans="2:8" ht="15.75">
      <c r="B149" s="497"/>
      <c r="C149" s="489"/>
      <c r="D149" s="489"/>
      <c r="E149" s="489"/>
      <c r="F149" s="489"/>
      <c r="G149" s="489"/>
      <c r="H149" s="489"/>
    </row>
    <row r="150" spans="2:8" ht="15.75">
      <c r="B150" s="497"/>
      <c r="C150" s="489"/>
      <c r="D150" s="489"/>
      <c r="E150" s="489"/>
      <c r="F150" s="489"/>
      <c r="G150" s="489"/>
      <c r="H150" s="489"/>
    </row>
    <row r="151" spans="2:8" ht="15.75">
      <c r="B151" s="497"/>
      <c r="C151" s="489"/>
      <c r="D151" s="489"/>
      <c r="E151" s="489"/>
      <c r="F151" s="489"/>
      <c r="G151" s="489"/>
      <c r="H151" s="489"/>
    </row>
    <row r="152" spans="2:8" ht="15.75">
      <c r="B152" s="497"/>
      <c r="C152" s="489"/>
      <c r="D152" s="489"/>
      <c r="E152" s="489"/>
      <c r="F152" s="489"/>
      <c r="G152" s="489"/>
      <c r="H152" s="489"/>
    </row>
    <row r="153" spans="2:8" ht="15.75">
      <c r="B153" s="497"/>
      <c r="C153" s="489"/>
      <c r="D153" s="489"/>
      <c r="E153" s="489"/>
      <c r="F153" s="489"/>
      <c r="G153" s="489"/>
      <c r="H153" s="489"/>
    </row>
    <row r="154" spans="2:8" ht="15.75">
      <c r="B154" s="497"/>
      <c r="C154" s="489"/>
      <c r="D154" s="489"/>
      <c r="E154" s="489"/>
      <c r="F154" s="489"/>
      <c r="G154" s="489"/>
      <c r="H154" s="489"/>
    </row>
    <row r="155" spans="2:8" ht="15.75">
      <c r="B155" s="497"/>
      <c r="C155" s="489"/>
      <c r="D155" s="489"/>
      <c r="E155" s="489"/>
      <c r="F155" s="489"/>
      <c r="G155" s="489"/>
      <c r="H155" s="489"/>
    </row>
    <row r="156" spans="2:8" ht="15.75">
      <c r="B156" s="497"/>
      <c r="C156" s="489"/>
      <c r="D156" s="489"/>
      <c r="E156" s="489"/>
      <c r="F156" s="489"/>
      <c r="G156" s="489"/>
      <c r="H156" s="489"/>
    </row>
    <row r="157" spans="2:8" ht="15.75">
      <c r="B157" s="497"/>
      <c r="C157" s="489"/>
      <c r="D157" s="489"/>
      <c r="E157" s="489"/>
      <c r="F157" s="489"/>
      <c r="G157" s="489"/>
      <c r="H157" s="489"/>
    </row>
    <row r="158" spans="2:8" ht="15.75">
      <c r="B158" s="497"/>
      <c r="C158" s="489"/>
      <c r="D158" s="489"/>
      <c r="E158" s="489"/>
      <c r="F158" s="489"/>
      <c r="G158" s="489"/>
      <c r="H158" s="489"/>
    </row>
    <row r="159" spans="2:8" ht="15.75">
      <c r="B159" s="497"/>
      <c r="C159" s="489"/>
      <c r="D159" s="489"/>
      <c r="E159" s="489"/>
      <c r="F159" s="489"/>
      <c r="G159" s="489"/>
      <c r="H159" s="489"/>
    </row>
    <row r="160" spans="2:8" ht="15.75">
      <c r="B160" s="497"/>
      <c r="C160" s="489"/>
      <c r="D160" s="489"/>
      <c r="E160" s="489"/>
      <c r="F160" s="489"/>
      <c r="G160" s="489"/>
      <c r="H160" s="489"/>
    </row>
    <row r="161" spans="2:8" ht="15.75">
      <c r="B161" s="497"/>
      <c r="C161" s="489"/>
      <c r="D161" s="489"/>
      <c r="E161" s="489"/>
      <c r="F161" s="489"/>
      <c r="G161" s="489"/>
      <c r="H161" s="489"/>
    </row>
    <row r="162" spans="2:8" ht="15.75">
      <c r="B162" s="497"/>
      <c r="C162" s="489"/>
      <c r="D162" s="489"/>
      <c r="E162" s="489"/>
      <c r="F162" s="489"/>
      <c r="G162" s="489"/>
      <c r="H162" s="489"/>
    </row>
    <row r="163" spans="2:8" ht="15.75">
      <c r="B163" s="497"/>
      <c r="C163" s="489"/>
      <c r="D163" s="489"/>
      <c r="E163" s="489"/>
      <c r="F163" s="489"/>
      <c r="G163" s="489"/>
      <c r="H163" s="489"/>
    </row>
    <row r="164" spans="2:8" ht="15.75">
      <c r="B164" s="497"/>
      <c r="C164" s="489"/>
      <c r="D164" s="489"/>
      <c r="E164" s="489"/>
      <c r="F164" s="489"/>
      <c r="G164" s="489"/>
      <c r="H164" s="489"/>
    </row>
    <row r="165" spans="2:8" ht="15.75">
      <c r="B165" s="497"/>
      <c r="C165" s="489"/>
      <c r="D165" s="489"/>
      <c r="E165" s="489"/>
      <c r="F165" s="489"/>
      <c r="G165" s="489"/>
      <c r="H165" s="489"/>
    </row>
    <row r="166" spans="2:8" ht="15.75">
      <c r="B166" s="497"/>
      <c r="C166" s="489"/>
      <c r="D166" s="489"/>
      <c r="E166" s="489"/>
      <c r="F166" s="489"/>
      <c r="G166" s="489"/>
      <c r="H166" s="489"/>
    </row>
    <row r="167" spans="2:8" ht="15.75">
      <c r="B167" s="497"/>
      <c r="C167" s="489"/>
      <c r="D167" s="489"/>
      <c r="E167" s="489"/>
      <c r="F167" s="489"/>
      <c r="G167" s="489"/>
      <c r="H167" s="489"/>
    </row>
    <row r="168" spans="2:8" ht="15.75">
      <c r="B168" s="497"/>
      <c r="C168" s="489"/>
      <c r="D168" s="489"/>
      <c r="E168" s="489"/>
      <c r="F168" s="489"/>
      <c r="G168" s="489"/>
      <c r="H168" s="489"/>
    </row>
    <row r="169" spans="2:8" ht="15.75">
      <c r="B169" s="497"/>
      <c r="C169" s="489"/>
      <c r="D169" s="489"/>
      <c r="E169" s="489"/>
      <c r="F169" s="489"/>
      <c r="G169" s="489"/>
      <c r="H169" s="489"/>
    </row>
    <row r="170" spans="2:8" ht="15.75">
      <c r="B170" s="497"/>
      <c r="C170" s="489"/>
      <c r="D170" s="489"/>
      <c r="E170" s="489"/>
      <c r="F170" s="489"/>
      <c r="G170" s="489"/>
      <c r="H170" s="489"/>
    </row>
    <row r="171" spans="2:8" ht="15.75">
      <c r="B171" s="497"/>
      <c r="C171" s="489"/>
      <c r="D171" s="489"/>
      <c r="E171" s="489"/>
      <c r="F171" s="489"/>
      <c r="G171" s="489"/>
      <c r="H171" s="489"/>
    </row>
    <row r="172" spans="2:8" ht="15.75">
      <c r="B172" s="497"/>
      <c r="C172" s="489"/>
      <c r="D172" s="489"/>
      <c r="E172" s="489"/>
      <c r="F172" s="489"/>
      <c r="G172" s="489"/>
      <c r="H172" s="489"/>
    </row>
    <row r="173" spans="2:8" ht="15.75">
      <c r="B173" s="497"/>
      <c r="C173" s="489"/>
      <c r="D173" s="489"/>
      <c r="E173" s="489"/>
      <c r="F173" s="489"/>
      <c r="G173" s="489"/>
      <c r="H173" s="489"/>
    </row>
    <row r="174" spans="2:8" ht="15.75">
      <c r="B174" s="497"/>
      <c r="C174" s="489"/>
      <c r="D174" s="489"/>
      <c r="E174" s="489"/>
      <c r="F174" s="489"/>
      <c r="G174" s="489"/>
      <c r="H174" s="489"/>
    </row>
    <row r="175" spans="2:8" ht="15.75">
      <c r="B175" s="497"/>
      <c r="C175" s="489"/>
      <c r="D175" s="489"/>
      <c r="E175" s="489"/>
      <c r="F175" s="489"/>
      <c r="G175" s="489"/>
      <c r="H175" s="489"/>
    </row>
    <row r="176" spans="2:8" ht="15.75">
      <c r="B176" s="497"/>
      <c r="C176" s="489"/>
      <c r="D176" s="489"/>
      <c r="E176" s="489"/>
      <c r="F176" s="489"/>
      <c r="G176" s="489"/>
      <c r="H176" s="489"/>
    </row>
    <row r="177" spans="2:8" ht="15.75">
      <c r="B177" s="497"/>
      <c r="C177" s="489"/>
      <c r="D177" s="489"/>
      <c r="E177" s="489"/>
      <c r="F177" s="489"/>
      <c r="G177" s="489"/>
      <c r="H177" s="489"/>
    </row>
    <row r="178" spans="2:8" ht="15.75">
      <c r="B178" s="497"/>
      <c r="C178" s="489"/>
      <c r="D178" s="489"/>
      <c r="E178" s="489"/>
      <c r="F178" s="489"/>
      <c r="G178" s="489"/>
      <c r="H178" s="489"/>
    </row>
    <row r="179" spans="2:8" ht="15.75">
      <c r="B179" s="497"/>
      <c r="C179" s="489"/>
      <c r="D179" s="489"/>
      <c r="E179" s="489"/>
      <c r="F179" s="489"/>
      <c r="G179" s="489"/>
      <c r="H179" s="489"/>
    </row>
    <row r="180" spans="2:8" ht="15.75">
      <c r="B180" s="497"/>
      <c r="C180" s="489"/>
      <c r="D180" s="489"/>
      <c r="E180" s="489"/>
      <c r="F180" s="489"/>
      <c r="G180" s="489"/>
      <c r="H180" s="489"/>
    </row>
    <row r="181" spans="2:8" ht="15.75">
      <c r="B181" s="497"/>
      <c r="C181" s="489"/>
      <c r="D181" s="489"/>
      <c r="E181" s="489"/>
      <c r="F181" s="489"/>
      <c r="G181" s="489"/>
      <c r="H181" s="489"/>
    </row>
    <row r="182" spans="2:8" ht="15.75">
      <c r="B182" s="497"/>
      <c r="C182" s="489"/>
      <c r="D182" s="489"/>
      <c r="E182" s="489"/>
      <c r="F182" s="489"/>
      <c r="G182" s="489"/>
      <c r="H182" s="489"/>
    </row>
    <row r="183" spans="2:8" ht="15.75">
      <c r="B183" s="497"/>
      <c r="C183" s="489"/>
      <c r="D183" s="489"/>
      <c r="E183" s="489"/>
      <c r="F183" s="489"/>
      <c r="G183" s="489"/>
      <c r="H183" s="489"/>
    </row>
    <row r="184" spans="2:8" ht="15.75">
      <c r="B184" s="497"/>
      <c r="C184" s="489"/>
      <c r="D184" s="489"/>
      <c r="E184" s="489"/>
      <c r="F184" s="489"/>
      <c r="G184" s="489"/>
      <c r="H184" s="489"/>
    </row>
    <row r="185" spans="2:8" ht="15.75">
      <c r="B185" s="497"/>
      <c r="C185" s="489"/>
      <c r="D185" s="489"/>
      <c r="E185" s="489"/>
      <c r="F185" s="489"/>
      <c r="G185" s="489"/>
      <c r="H185" s="489"/>
    </row>
    <row r="186" spans="2:8" ht="15.75">
      <c r="B186" s="497"/>
      <c r="C186" s="489"/>
      <c r="D186" s="489"/>
      <c r="E186" s="489"/>
      <c r="F186" s="489"/>
      <c r="G186" s="489"/>
      <c r="H186" s="489"/>
    </row>
    <row r="187" spans="2:8" ht="15.75">
      <c r="B187" s="497"/>
      <c r="C187" s="489"/>
      <c r="D187" s="489"/>
      <c r="E187" s="489"/>
      <c r="F187" s="489"/>
      <c r="G187" s="489"/>
      <c r="H187" s="489"/>
    </row>
    <row r="188" spans="2:8" ht="15.75">
      <c r="B188" s="497"/>
      <c r="C188" s="489"/>
      <c r="D188" s="489"/>
      <c r="E188" s="489"/>
      <c r="F188" s="489"/>
      <c r="G188" s="489"/>
      <c r="H188" s="489"/>
    </row>
    <row r="189" spans="2:8" ht="15.75">
      <c r="B189" s="497"/>
      <c r="C189" s="489"/>
      <c r="D189" s="489"/>
      <c r="E189" s="489"/>
      <c r="F189" s="489"/>
      <c r="G189" s="489"/>
      <c r="H189" s="489"/>
    </row>
    <row r="190" spans="2:8" ht="15.75">
      <c r="B190" s="497"/>
      <c r="C190" s="489"/>
      <c r="D190" s="489"/>
      <c r="E190" s="489"/>
      <c r="F190" s="489"/>
      <c r="G190" s="489"/>
      <c r="H190" s="489"/>
    </row>
    <row r="191" spans="2:8" ht="15.75">
      <c r="B191" s="497"/>
      <c r="C191" s="489"/>
      <c r="D191" s="489"/>
      <c r="E191" s="489"/>
      <c r="F191" s="489"/>
      <c r="G191" s="489"/>
      <c r="H191" s="489"/>
    </row>
    <row r="192" spans="2:8" ht="15.75">
      <c r="B192" s="497"/>
      <c r="C192" s="489"/>
      <c r="D192" s="489"/>
      <c r="E192" s="489"/>
      <c r="F192" s="489"/>
      <c r="G192" s="489"/>
      <c r="H192" s="489"/>
    </row>
    <row r="193" spans="2:8" ht="15.75">
      <c r="B193" s="497"/>
      <c r="C193" s="489"/>
      <c r="D193" s="489"/>
      <c r="E193" s="489"/>
      <c r="F193" s="489"/>
      <c r="G193" s="489"/>
      <c r="H193" s="489"/>
    </row>
    <row r="194" spans="2:8" ht="15.75">
      <c r="B194" s="497"/>
      <c r="C194" s="489"/>
      <c r="D194" s="489"/>
      <c r="E194" s="489"/>
      <c r="F194" s="489"/>
      <c r="G194" s="489"/>
      <c r="H194" s="489"/>
    </row>
    <row r="195" spans="2:8" ht="15.75">
      <c r="B195" s="497"/>
      <c r="C195" s="489"/>
      <c r="D195" s="489"/>
      <c r="E195" s="489"/>
      <c r="F195" s="489"/>
      <c r="G195" s="489"/>
      <c r="H195" s="489"/>
    </row>
    <row r="196" spans="2:8" ht="15.75">
      <c r="B196" s="497"/>
      <c r="C196" s="489"/>
      <c r="D196" s="489"/>
      <c r="E196" s="489"/>
      <c r="F196" s="489"/>
      <c r="G196" s="489"/>
      <c r="H196" s="489"/>
    </row>
    <row r="197" spans="2:8" ht="15.75">
      <c r="B197" s="497"/>
      <c r="C197" s="489"/>
      <c r="D197" s="489"/>
      <c r="E197" s="489"/>
      <c r="F197" s="489"/>
      <c r="G197" s="489"/>
      <c r="H197" s="489"/>
    </row>
    <row r="198" spans="2:8" ht="15.75">
      <c r="B198" s="497"/>
      <c r="C198" s="489"/>
      <c r="D198" s="489"/>
      <c r="E198" s="489"/>
      <c r="F198" s="489"/>
      <c r="G198" s="489"/>
      <c r="H198" s="489"/>
    </row>
    <row r="199" spans="2:8" ht="15.75">
      <c r="B199" s="497"/>
      <c r="C199" s="489"/>
      <c r="D199" s="489"/>
      <c r="E199" s="489"/>
      <c r="F199" s="489"/>
      <c r="G199" s="489"/>
      <c r="H199" s="489"/>
    </row>
    <row r="200" spans="2:8" ht="15.75">
      <c r="B200" s="497"/>
      <c r="C200" s="489"/>
      <c r="D200" s="489"/>
      <c r="E200" s="489"/>
      <c r="F200" s="489"/>
      <c r="G200" s="489"/>
      <c r="H200" s="489"/>
    </row>
    <row r="201" spans="2:8" ht="15.75">
      <c r="B201" s="497"/>
      <c r="C201" s="489"/>
      <c r="D201" s="489"/>
      <c r="E201" s="489"/>
      <c r="F201" s="489"/>
      <c r="G201" s="489"/>
      <c r="H201" s="489"/>
    </row>
    <row r="202" spans="2:8" ht="15.75">
      <c r="B202" s="497"/>
      <c r="C202" s="489"/>
      <c r="D202" s="489"/>
      <c r="E202" s="489"/>
      <c r="F202" s="489"/>
      <c r="G202" s="489"/>
      <c r="H202" s="489"/>
    </row>
    <row r="203" spans="2:8" ht="15.75">
      <c r="B203" s="497"/>
      <c r="C203" s="489"/>
      <c r="D203" s="489"/>
      <c r="E203" s="489"/>
      <c r="F203" s="489"/>
      <c r="G203" s="489"/>
      <c r="H203" s="489"/>
    </row>
    <row r="204" spans="2:8" ht="15.75">
      <c r="B204" s="497"/>
      <c r="C204" s="489"/>
      <c r="D204" s="489"/>
      <c r="E204" s="489"/>
      <c r="F204" s="489"/>
      <c r="G204" s="489"/>
      <c r="H204" s="489"/>
    </row>
    <row r="205" spans="2:8" ht="15.75">
      <c r="B205" s="497"/>
      <c r="C205" s="489"/>
      <c r="D205" s="489"/>
      <c r="E205" s="489"/>
      <c r="F205" s="489"/>
      <c r="G205" s="489"/>
      <c r="H205" s="489"/>
    </row>
    <row r="206" spans="2:8" ht="15.75">
      <c r="B206" s="497"/>
      <c r="C206" s="489"/>
      <c r="D206" s="489"/>
      <c r="E206" s="489"/>
      <c r="F206" s="489"/>
      <c r="G206" s="489"/>
      <c r="H206" s="489"/>
    </row>
    <row r="207" spans="2:8" ht="15.75">
      <c r="B207" s="497"/>
      <c r="C207" s="489"/>
      <c r="D207" s="489"/>
      <c r="E207" s="489"/>
      <c r="F207" s="489"/>
      <c r="G207" s="489"/>
      <c r="H207" s="489"/>
    </row>
    <row r="208" spans="2:8" ht="15.75">
      <c r="B208" s="497"/>
      <c r="C208" s="489"/>
      <c r="D208" s="489"/>
      <c r="E208" s="489"/>
      <c r="F208" s="489"/>
      <c r="G208" s="489"/>
      <c r="H208" s="489"/>
    </row>
    <row r="209" spans="2:8" ht="15.75">
      <c r="B209" s="497"/>
      <c r="C209" s="489"/>
      <c r="D209" s="489"/>
      <c r="E209" s="489"/>
      <c r="F209" s="489"/>
      <c r="G209" s="489"/>
      <c r="H209" s="489"/>
    </row>
    <row r="210" spans="2:8" ht="15.75">
      <c r="B210" s="497"/>
      <c r="C210" s="489"/>
      <c r="D210" s="489"/>
      <c r="E210" s="489"/>
      <c r="F210" s="489"/>
      <c r="G210" s="489"/>
      <c r="H210" s="489"/>
    </row>
    <row r="211" spans="2:8" ht="15.75">
      <c r="B211" s="497"/>
      <c r="C211" s="489"/>
      <c r="D211" s="489"/>
      <c r="E211" s="489"/>
      <c r="F211" s="489"/>
      <c r="G211" s="489"/>
      <c r="H211" s="489"/>
    </row>
    <row r="212" spans="2:8" ht="15.75">
      <c r="B212" s="497"/>
      <c r="C212" s="489"/>
      <c r="D212" s="489"/>
      <c r="E212" s="489"/>
      <c r="F212" s="489"/>
      <c r="G212" s="489"/>
      <c r="H212" s="489"/>
    </row>
    <row r="213" spans="2:8" ht="15.75">
      <c r="B213" s="497"/>
      <c r="C213" s="489"/>
      <c r="D213" s="489"/>
      <c r="E213" s="489"/>
      <c r="F213" s="489"/>
      <c r="G213" s="489"/>
      <c r="H213" s="489"/>
    </row>
    <row r="214" spans="2:8" ht="15.75">
      <c r="B214" s="497"/>
      <c r="C214" s="489"/>
      <c r="D214" s="489"/>
      <c r="E214" s="489"/>
      <c r="F214" s="489"/>
      <c r="G214" s="489"/>
      <c r="H214" s="489"/>
    </row>
    <row r="215" spans="2:8" ht="15.75">
      <c r="B215" s="497"/>
      <c r="C215" s="489"/>
      <c r="D215" s="489"/>
      <c r="E215" s="489"/>
      <c r="F215" s="489"/>
      <c r="G215" s="489"/>
      <c r="H215" s="489"/>
    </row>
    <row r="216" spans="2:8" ht="15.75">
      <c r="B216" s="497"/>
      <c r="C216" s="489"/>
      <c r="D216" s="489"/>
      <c r="E216" s="489"/>
      <c r="F216" s="489"/>
      <c r="G216" s="489"/>
      <c r="H216" s="489"/>
    </row>
    <row r="217" spans="2:8" ht="15.75">
      <c r="B217" s="497"/>
      <c r="C217" s="489"/>
      <c r="D217" s="489"/>
      <c r="E217" s="489"/>
      <c r="F217" s="489"/>
      <c r="G217" s="489"/>
      <c r="H217" s="489"/>
    </row>
    <row r="218" spans="2:8" ht="15.75">
      <c r="B218" s="497"/>
      <c r="C218" s="489"/>
      <c r="D218" s="489"/>
      <c r="E218" s="489"/>
      <c r="F218" s="489"/>
      <c r="G218" s="489"/>
      <c r="H218" s="489"/>
    </row>
    <row r="219" spans="2:8" ht="15.75">
      <c r="B219" s="497"/>
      <c r="C219" s="489"/>
      <c r="D219" s="489"/>
      <c r="E219" s="489"/>
      <c r="F219" s="489"/>
      <c r="G219" s="489"/>
      <c r="H219" s="489"/>
    </row>
    <row r="220" spans="2:8" ht="15.75">
      <c r="B220" s="497"/>
      <c r="C220" s="489"/>
      <c r="D220" s="489"/>
      <c r="E220" s="489"/>
      <c r="F220" s="489"/>
      <c r="G220" s="489"/>
      <c r="H220" s="489"/>
    </row>
    <row r="221" spans="2:8" ht="15.75">
      <c r="B221" s="497"/>
      <c r="C221" s="489"/>
      <c r="D221" s="489"/>
      <c r="E221" s="489"/>
      <c r="F221" s="489"/>
      <c r="G221" s="489"/>
      <c r="H221" s="489"/>
    </row>
    <row r="222" spans="2:8" ht="15.75">
      <c r="B222" s="497"/>
      <c r="C222" s="489"/>
      <c r="D222" s="489"/>
      <c r="E222" s="489"/>
      <c r="F222" s="489"/>
      <c r="G222" s="489"/>
      <c r="H222" s="489"/>
    </row>
    <row r="223" spans="2:8" ht="15.75">
      <c r="B223" s="497"/>
      <c r="C223" s="489"/>
      <c r="D223" s="489"/>
      <c r="E223" s="489"/>
      <c r="F223" s="489"/>
      <c r="G223" s="489"/>
      <c r="H223" s="489"/>
    </row>
    <row r="224" spans="2:8" ht="15.75">
      <c r="B224" s="497"/>
      <c r="C224" s="489"/>
      <c r="D224" s="489"/>
      <c r="E224" s="489"/>
      <c r="F224" s="489"/>
      <c r="G224" s="489"/>
      <c r="H224" s="489"/>
    </row>
    <row r="225" spans="2:9" ht="15.75">
      <c r="B225" s="497"/>
      <c r="C225" s="489"/>
      <c r="D225" s="489"/>
      <c r="E225" s="489"/>
      <c r="F225" s="489"/>
      <c r="G225" s="489"/>
      <c r="H225" s="489"/>
    </row>
    <row r="226" spans="2:9" ht="15.75">
      <c r="B226" s="497"/>
      <c r="C226" s="489"/>
      <c r="D226" s="489"/>
      <c r="E226" s="489"/>
      <c r="F226" s="489"/>
      <c r="G226" s="489"/>
      <c r="H226" s="489"/>
    </row>
    <row r="227" spans="2:9" ht="15.75">
      <c r="B227" s="497"/>
      <c r="C227" s="489"/>
      <c r="D227" s="489"/>
      <c r="E227" s="489"/>
      <c r="F227" s="489"/>
      <c r="G227" s="489"/>
      <c r="H227" s="489"/>
    </row>
    <row r="228" spans="2:9" ht="15.75">
      <c r="B228" s="497"/>
      <c r="C228" s="489"/>
      <c r="D228" s="489"/>
      <c r="E228" s="489"/>
      <c r="F228" s="489"/>
      <c r="G228" s="489"/>
      <c r="H228" s="489"/>
      <c r="I228" s="865"/>
    </row>
    <row r="229" spans="2:9" ht="15.75">
      <c r="B229" s="497"/>
      <c r="C229" s="489"/>
      <c r="D229" s="489"/>
      <c r="E229" s="489"/>
      <c r="F229" s="489"/>
      <c r="G229" s="489"/>
      <c r="H229" s="489"/>
    </row>
    <row r="230" spans="2:9" ht="15.75">
      <c r="B230" s="497"/>
      <c r="C230" s="489"/>
      <c r="D230" s="489"/>
      <c r="E230" s="489"/>
      <c r="F230" s="489"/>
      <c r="G230" s="489"/>
      <c r="H230" s="489"/>
    </row>
    <row r="231" spans="2:9" ht="15.75">
      <c r="B231" s="497"/>
      <c r="C231" s="489"/>
      <c r="D231" s="489"/>
      <c r="E231" s="489"/>
      <c r="F231" s="489"/>
      <c r="G231" s="489"/>
      <c r="H231" s="489"/>
    </row>
    <row r="232" spans="2:9" ht="15.75">
      <c r="B232" s="497"/>
      <c r="C232" s="489"/>
      <c r="D232" s="489"/>
      <c r="E232" s="489"/>
      <c r="F232" s="489"/>
      <c r="G232" s="489"/>
      <c r="H232" s="489"/>
    </row>
    <row r="233" spans="2:9" ht="15.75">
      <c r="B233" s="497"/>
      <c r="C233" s="489"/>
      <c r="D233" s="489"/>
      <c r="E233" s="489"/>
      <c r="F233" s="489"/>
      <c r="G233" s="489"/>
      <c r="H233" s="489"/>
    </row>
    <row r="234" spans="2:9" ht="15.75">
      <c r="B234" s="497"/>
      <c r="C234" s="489"/>
      <c r="D234" s="489"/>
      <c r="E234" s="489"/>
      <c r="F234" s="489"/>
      <c r="G234" s="489"/>
      <c r="H234" s="489"/>
    </row>
    <row r="235" spans="2:9" ht="15.75">
      <c r="B235" s="497"/>
      <c r="C235" s="489"/>
      <c r="D235" s="489"/>
      <c r="E235" s="489"/>
      <c r="F235" s="489"/>
      <c r="G235" s="489"/>
      <c r="H235" s="489"/>
    </row>
    <row r="236" spans="2:9" ht="15.75">
      <c r="B236" s="497"/>
      <c r="C236" s="489"/>
      <c r="D236" s="489"/>
      <c r="E236" s="489"/>
      <c r="F236" s="489"/>
      <c r="G236" s="489"/>
      <c r="H236" s="489"/>
    </row>
    <row r="237" spans="2:9" ht="15.75">
      <c r="B237" s="497"/>
      <c r="C237" s="489"/>
      <c r="D237" s="489"/>
      <c r="E237" s="489"/>
      <c r="F237" s="489"/>
      <c r="G237" s="489"/>
      <c r="H237" s="489"/>
    </row>
    <row r="238" spans="2:9" ht="15.75">
      <c r="B238" s="497"/>
      <c r="C238" s="489"/>
      <c r="D238" s="489"/>
      <c r="E238" s="489"/>
      <c r="F238" s="489"/>
      <c r="G238" s="489"/>
      <c r="H238" s="489"/>
    </row>
    <row r="239" spans="2:9" ht="15.75">
      <c r="B239" s="497"/>
      <c r="C239" s="489"/>
      <c r="D239" s="489"/>
      <c r="E239" s="489"/>
      <c r="F239" s="489"/>
      <c r="G239" s="489"/>
      <c r="H239" s="489"/>
    </row>
    <row r="240" spans="2:9" ht="15.75">
      <c r="B240" s="497"/>
      <c r="C240" s="489"/>
      <c r="D240" s="489"/>
      <c r="E240" s="489"/>
      <c r="F240" s="489"/>
      <c r="G240" s="489"/>
      <c r="H240" s="489"/>
    </row>
    <row r="241" spans="2:8" ht="15.75">
      <c r="B241" s="497"/>
      <c r="C241" s="489"/>
      <c r="D241" s="489"/>
      <c r="E241" s="489"/>
      <c r="F241" s="489"/>
      <c r="G241" s="489"/>
      <c r="H241" s="489"/>
    </row>
    <row r="242" spans="2:8" ht="15.75">
      <c r="B242" s="497"/>
      <c r="C242" s="489"/>
      <c r="D242" s="489"/>
      <c r="E242" s="489"/>
      <c r="F242" s="489"/>
      <c r="G242" s="489"/>
      <c r="H242" s="489"/>
    </row>
    <row r="243" spans="2:8" ht="15.75">
      <c r="B243" s="497"/>
      <c r="C243" s="489"/>
      <c r="D243" s="489"/>
      <c r="E243" s="489"/>
      <c r="F243" s="489"/>
      <c r="G243" s="489"/>
      <c r="H243" s="489"/>
    </row>
    <row r="244" spans="2:8" ht="15.75">
      <c r="B244" s="497"/>
      <c r="C244" s="489"/>
      <c r="D244" s="489"/>
      <c r="E244" s="489"/>
      <c r="F244" s="489"/>
      <c r="G244" s="489"/>
      <c r="H244" s="489"/>
    </row>
    <row r="245" spans="2:8" ht="15.75">
      <c r="B245" s="497"/>
      <c r="C245" s="489"/>
      <c r="D245" s="489"/>
      <c r="E245" s="489"/>
      <c r="F245" s="489"/>
      <c r="G245" s="489"/>
      <c r="H245" s="489"/>
    </row>
    <row r="246" spans="2:8" ht="15.75">
      <c r="B246" s="497"/>
      <c r="C246" s="489"/>
      <c r="D246" s="489"/>
      <c r="E246" s="489"/>
      <c r="F246" s="489"/>
      <c r="G246" s="489"/>
      <c r="H246" s="489"/>
    </row>
    <row r="247" spans="2:8" ht="15.75">
      <c r="B247" s="497"/>
      <c r="C247" s="489"/>
      <c r="D247" s="489"/>
      <c r="E247" s="489"/>
      <c r="F247" s="489"/>
      <c r="G247" s="489"/>
      <c r="H247" s="489"/>
    </row>
    <row r="248" spans="2:8" ht="15.75">
      <c r="B248" s="497"/>
      <c r="C248" s="489"/>
      <c r="D248" s="489"/>
      <c r="E248" s="489"/>
      <c r="F248" s="489"/>
      <c r="G248" s="489"/>
      <c r="H248" s="489"/>
    </row>
    <row r="249" spans="2:8" ht="15.75">
      <c r="B249" s="497"/>
      <c r="C249" s="489"/>
      <c r="D249" s="489"/>
      <c r="E249" s="489"/>
      <c r="F249" s="489"/>
      <c r="G249" s="489"/>
      <c r="H249" s="489"/>
    </row>
    <row r="250" spans="2:8" ht="15.75">
      <c r="B250" s="497"/>
      <c r="C250" s="489"/>
      <c r="D250" s="489"/>
      <c r="E250" s="489"/>
      <c r="F250" s="489"/>
      <c r="G250" s="489"/>
      <c r="H250" s="489"/>
    </row>
    <row r="251" spans="2:8" ht="15.75">
      <c r="B251" s="497"/>
      <c r="C251" s="489"/>
      <c r="D251" s="489"/>
      <c r="E251" s="489"/>
      <c r="F251" s="489"/>
      <c r="G251" s="489"/>
      <c r="H251" s="489"/>
    </row>
    <row r="252" spans="2:8" ht="15.75">
      <c r="B252" s="497"/>
      <c r="C252" s="489"/>
      <c r="D252" s="489"/>
      <c r="E252" s="489"/>
      <c r="F252" s="489"/>
      <c r="G252" s="489"/>
      <c r="H252" s="489"/>
    </row>
    <row r="253" spans="2:8" ht="15.75">
      <c r="B253" s="497"/>
      <c r="C253" s="489"/>
      <c r="D253" s="489"/>
      <c r="E253" s="489"/>
      <c r="F253" s="489"/>
      <c r="G253" s="489"/>
      <c r="H253" s="489"/>
    </row>
    <row r="254" spans="2:8" ht="15.75">
      <c r="B254" s="497"/>
      <c r="C254" s="489"/>
      <c r="D254" s="489"/>
      <c r="E254" s="489"/>
      <c r="F254" s="489"/>
      <c r="G254" s="489"/>
      <c r="H254" s="489"/>
    </row>
    <row r="255" spans="2:8" ht="15.75">
      <c r="B255" s="497"/>
      <c r="C255" s="489"/>
      <c r="D255" s="489"/>
      <c r="E255" s="489"/>
      <c r="F255" s="489"/>
      <c r="G255" s="489"/>
      <c r="H255" s="489"/>
    </row>
    <row r="256" spans="2:8" ht="15.75">
      <c r="B256" s="497"/>
      <c r="C256" s="489"/>
      <c r="D256" s="489"/>
      <c r="E256" s="489"/>
      <c r="F256" s="489"/>
      <c r="G256" s="489"/>
      <c r="H256" s="489"/>
    </row>
    <row r="257" spans="2:8" ht="15.75">
      <c r="B257" s="497"/>
      <c r="C257" s="489"/>
      <c r="D257" s="489"/>
      <c r="E257" s="489"/>
      <c r="F257" s="489"/>
      <c r="G257" s="489"/>
      <c r="H257" s="489"/>
    </row>
    <row r="258" spans="2:8" ht="15.75">
      <c r="B258" s="497"/>
      <c r="C258" s="489"/>
      <c r="D258" s="489"/>
      <c r="E258" s="489"/>
      <c r="F258" s="489"/>
      <c r="G258" s="489"/>
      <c r="H258" s="489"/>
    </row>
    <row r="259" spans="2:8" ht="15.75">
      <c r="B259" s="497"/>
      <c r="C259" s="489"/>
      <c r="D259" s="489"/>
      <c r="E259" s="489"/>
      <c r="F259" s="489"/>
      <c r="G259" s="489"/>
      <c r="H259" s="489"/>
    </row>
    <row r="260" spans="2:8" ht="15.75">
      <c r="B260" s="497"/>
      <c r="C260" s="489"/>
      <c r="D260" s="489"/>
      <c r="E260" s="489"/>
      <c r="F260" s="489"/>
      <c r="G260" s="489"/>
      <c r="H260" s="489"/>
    </row>
    <row r="261" spans="2:8" ht="15.75">
      <c r="B261" s="497"/>
      <c r="C261" s="489"/>
      <c r="D261" s="489"/>
      <c r="E261" s="489"/>
      <c r="F261" s="489"/>
      <c r="G261" s="489"/>
      <c r="H261" s="489"/>
    </row>
    <row r="262" spans="2:8" ht="15.75">
      <c r="B262" s="497"/>
      <c r="C262" s="489"/>
      <c r="D262" s="489"/>
      <c r="E262" s="489"/>
      <c r="F262" s="489"/>
      <c r="G262" s="489"/>
      <c r="H262" s="489"/>
    </row>
    <row r="263" spans="2:8" ht="15.75">
      <c r="B263" s="497"/>
      <c r="C263" s="489"/>
      <c r="D263" s="489"/>
      <c r="E263" s="489"/>
      <c r="F263" s="489"/>
      <c r="G263" s="489"/>
      <c r="H263" s="489"/>
    </row>
    <row r="264" spans="2:8" ht="15.75">
      <c r="B264" s="497"/>
      <c r="C264" s="489"/>
      <c r="D264" s="489"/>
      <c r="E264" s="489"/>
      <c r="F264" s="489"/>
      <c r="G264" s="489"/>
      <c r="H264" s="489"/>
    </row>
    <row r="265" spans="2:8" ht="15.75">
      <c r="B265" s="497"/>
      <c r="C265" s="489"/>
      <c r="D265" s="489"/>
      <c r="E265" s="489"/>
      <c r="F265" s="489"/>
      <c r="G265" s="489"/>
      <c r="H265" s="489"/>
    </row>
    <row r="266" spans="2:8" ht="15.75">
      <c r="B266" s="497"/>
      <c r="C266" s="489"/>
      <c r="D266" s="489"/>
      <c r="E266" s="489"/>
      <c r="F266" s="489"/>
      <c r="G266" s="489"/>
      <c r="H266" s="489"/>
    </row>
    <row r="267" spans="2:8" ht="15.75">
      <c r="B267" s="497"/>
      <c r="C267" s="489"/>
      <c r="D267" s="489"/>
      <c r="E267" s="489"/>
      <c r="F267" s="489"/>
      <c r="G267" s="489"/>
      <c r="H267" s="489"/>
    </row>
    <row r="268" spans="2:8" ht="15.75">
      <c r="B268" s="497"/>
      <c r="C268" s="489"/>
      <c r="D268" s="489"/>
      <c r="E268" s="489"/>
      <c r="F268" s="489"/>
      <c r="G268" s="489"/>
      <c r="H268" s="489"/>
    </row>
    <row r="269" spans="2:8" ht="15.75">
      <c r="B269" s="497"/>
      <c r="C269" s="489"/>
      <c r="D269" s="489"/>
      <c r="E269" s="489"/>
      <c r="F269" s="489"/>
      <c r="G269" s="489"/>
      <c r="H269" s="489"/>
    </row>
    <row r="270" spans="2:8" ht="15.75">
      <c r="B270" s="497"/>
      <c r="C270" s="489"/>
      <c r="D270" s="489"/>
      <c r="E270" s="489"/>
      <c r="F270" s="489"/>
      <c r="G270" s="489"/>
      <c r="H270" s="489"/>
    </row>
    <row r="271" spans="2:8" ht="15.75">
      <c r="B271" s="497"/>
      <c r="C271" s="489"/>
      <c r="D271" s="489"/>
      <c r="E271" s="489"/>
      <c r="F271" s="489"/>
      <c r="G271" s="489"/>
      <c r="H271" s="489"/>
    </row>
    <row r="272" spans="2:8" ht="15.75">
      <c r="B272" s="497"/>
      <c r="C272" s="489"/>
      <c r="D272" s="489"/>
      <c r="E272" s="489"/>
      <c r="F272" s="489"/>
      <c r="G272" s="489"/>
      <c r="H272" s="489"/>
    </row>
    <row r="273" spans="2:8" ht="15.75">
      <c r="B273" s="497"/>
      <c r="C273" s="489"/>
      <c r="D273" s="489"/>
      <c r="E273" s="489"/>
      <c r="F273" s="489"/>
      <c r="G273" s="489"/>
      <c r="H273" s="489"/>
    </row>
    <row r="274" spans="2:8" ht="15.75">
      <c r="B274" s="497"/>
      <c r="C274" s="489"/>
      <c r="D274" s="489"/>
      <c r="E274" s="489"/>
      <c r="F274" s="489"/>
      <c r="G274" s="489"/>
      <c r="H274" s="489"/>
    </row>
    <row r="275" spans="2:8" ht="15.75">
      <c r="B275" s="497"/>
      <c r="C275" s="489"/>
      <c r="D275" s="489"/>
      <c r="E275" s="489"/>
      <c r="F275" s="489"/>
      <c r="G275" s="489"/>
      <c r="H275" s="489"/>
    </row>
    <row r="276" spans="2:8" ht="15.75">
      <c r="B276" s="497"/>
      <c r="C276" s="489"/>
      <c r="D276" s="489"/>
      <c r="E276" s="489"/>
      <c r="F276" s="489"/>
      <c r="G276" s="489"/>
      <c r="H276" s="489"/>
    </row>
    <row r="277" spans="2:8" ht="15.75">
      <c r="B277" s="497"/>
      <c r="C277" s="489"/>
      <c r="D277" s="489"/>
      <c r="E277" s="489"/>
      <c r="F277" s="489"/>
      <c r="G277" s="489"/>
      <c r="H277" s="489"/>
    </row>
    <row r="278" spans="2:8" ht="15.75">
      <c r="B278" s="497"/>
      <c r="C278" s="489"/>
      <c r="D278" s="489"/>
      <c r="E278" s="489"/>
      <c r="F278" s="489"/>
      <c r="G278" s="489"/>
      <c r="H278" s="489"/>
    </row>
    <row r="279" spans="2:8" ht="15.75">
      <c r="B279" s="497"/>
      <c r="C279" s="489"/>
      <c r="D279" s="489"/>
      <c r="E279" s="489"/>
      <c r="F279" s="489"/>
      <c r="G279" s="489"/>
      <c r="H279" s="489"/>
    </row>
    <row r="280" spans="2:8" ht="15.75">
      <c r="B280" s="497"/>
      <c r="C280" s="489"/>
      <c r="D280" s="489"/>
      <c r="E280" s="489"/>
      <c r="F280" s="489"/>
      <c r="G280" s="489"/>
      <c r="H280" s="489"/>
    </row>
    <row r="281" spans="2:8" ht="15.75">
      <c r="B281" s="497"/>
      <c r="C281" s="489"/>
      <c r="D281" s="489"/>
      <c r="E281" s="489"/>
      <c r="F281" s="489"/>
      <c r="G281" s="489"/>
      <c r="H281" s="489"/>
    </row>
    <row r="282" spans="2:8" ht="15.75">
      <c r="B282" s="497"/>
      <c r="C282" s="489"/>
      <c r="D282" s="489"/>
      <c r="E282" s="489"/>
      <c r="F282" s="489"/>
      <c r="G282" s="489"/>
      <c r="H282" s="489"/>
    </row>
    <row r="283" spans="2:8" ht="15.75">
      <c r="B283" s="497"/>
      <c r="C283" s="489"/>
      <c r="D283" s="489"/>
      <c r="E283" s="489"/>
      <c r="F283" s="489"/>
      <c r="G283" s="489"/>
      <c r="H283" s="489"/>
    </row>
    <row r="284" spans="2:8" ht="15.75">
      <c r="B284" s="497"/>
      <c r="C284" s="489"/>
      <c r="D284" s="489"/>
      <c r="E284" s="489"/>
      <c r="F284" s="489"/>
      <c r="G284" s="489"/>
      <c r="H284" s="489"/>
    </row>
    <row r="285" spans="2:8" ht="15.75">
      <c r="B285" s="497"/>
      <c r="C285" s="489"/>
      <c r="D285" s="489"/>
      <c r="E285" s="489"/>
      <c r="F285" s="489"/>
      <c r="G285" s="489"/>
      <c r="H285" s="489"/>
    </row>
    <row r="286" spans="2:8" ht="15.75">
      <c r="B286" s="497"/>
      <c r="C286" s="489"/>
      <c r="D286" s="489"/>
      <c r="E286" s="489"/>
      <c r="F286" s="489"/>
      <c r="G286" s="489"/>
      <c r="H286" s="489"/>
    </row>
    <row r="287" spans="2:8" ht="15.75">
      <c r="B287" s="497"/>
      <c r="C287" s="489"/>
      <c r="D287" s="489"/>
      <c r="E287" s="489"/>
      <c r="F287" s="489"/>
      <c r="G287" s="489"/>
      <c r="H287" s="489"/>
    </row>
    <row r="288" spans="2:8" ht="15.75">
      <c r="B288" s="497"/>
      <c r="C288" s="489"/>
      <c r="D288" s="489"/>
      <c r="E288" s="489"/>
      <c r="F288" s="489"/>
      <c r="G288" s="489"/>
      <c r="H288" s="489"/>
    </row>
    <row r="289" spans="2:8" ht="15.75">
      <c r="B289" s="497"/>
      <c r="C289" s="489"/>
      <c r="D289" s="489"/>
      <c r="E289" s="489"/>
      <c r="F289" s="489"/>
      <c r="G289" s="489"/>
      <c r="H289" s="489"/>
    </row>
    <row r="290" spans="2:8" ht="15.75">
      <c r="B290" s="497"/>
      <c r="C290" s="489"/>
      <c r="D290" s="489"/>
      <c r="E290" s="489"/>
      <c r="F290" s="489"/>
      <c r="G290" s="489"/>
      <c r="H290" s="489"/>
    </row>
    <row r="291" spans="2:8" ht="15.75">
      <c r="B291" s="497"/>
      <c r="C291" s="489"/>
      <c r="D291" s="489"/>
      <c r="E291" s="489"/>
      <c r="F291" s="489"/>
      <c r="G291" s="489"/>
      <c r="H291" s="489"/>
    </row>
    <row r="292" spans="2:8" ht="15.75">
      <c r="B292" s="497"/>
      <c r="C292" s="489"/>
      <c r="D292" s="489"/>
      <c r="E292" s="489"/>
      <c r="F292" s="489"/>
      <c r="G292" s="489"/>
      <c r="H292" s="489"/>
    </row>
    <row r="293" spans="2:8" ht="15.75">
      <c r="B293" s="497"/>
      <c r="C293" s="489"/>
      <c r="D293" s="489"/>
      <c r="E293" s="489"/>
      <c r="F293" s="489"/>
      <c r="G293" s="489"/>
      <c r="H293" s="489"/>
    </row>
    <row r="294" spans="2:8" ht="15.75">
      <c r="B294" s="497"/>
      <c r="C294" s="489"/>
      <c r="D294" s="489"/>
      <c r="E294" s="489"/>
      <c r="F294" s="489"/>
      <c r="G294" s="489"/>
      <c r="H294" s="489"/>
    </row>
    <row r="295" spans="2:8" ht="15.75">
      <c r="B295" s="497"/>
      <c r="C295" s="489"/>
      <c r="D295" s="489"/>
      <c r="E295" s="489"/>
      <c r="F295" s="489"/>
      <c r="G295" s="489"/>
      <c r="H295" s="489"/>
    </row>
    <row r="296" spans="2:8" ht="15.75">
      <c r="B296" s="497"/>
      <c r="C296" s="489"/>
      <c r="D296" s="489"/>
      <c r="E296" s="489"/>
      <c r="F296" s="489"/>
      <c r="G296" s="489"/>
      <c r="H296" s="489"/>
    </row>
    <row r="297" spans="2:8" ht="15.75">
      <c r="B297" s="497"/>
      <c r="C297" s="489"/>
      <c r="D297" s="489"/>
      <c r="E297" s="489"/>
      <c r="F297" s="489"/>
      <c r="G297" s="489"/>
      <c r="H297" s="489"/>
    </row>
    <row r="298" spans="2:8" ht="15.75">
      <c r="B298" s="497"/>
      <c r="C298" s="489"/>
      <c r="D298" s="489"/>
      <c r="E298" s="489"/>
      <c r="F298" s="489"/>
      <c r="G298" s="489"/>
      <c r="H298" s="489"/>
    </row>
    <row r="299" spans="2:8" ht="15.75">
      <c r="B299" s="497"/>
      <c r="C299" s="489"/>
      <c r="D299" s="489"/>
      <c r="E299" s="489"/>
      <c r="F299" s="489"/>
      <c r="G299" s="489"/>
      <c r="H299" s="489"/>
    </row>
    <row r="300" spans="2:8" ht="15.75">
      <c r="B300" s="497"/>
      <c r="C300" s="489"/>
      <c r="D300" s="489"/>
      <c r="E300" s="489"/>
      <c r="F300" s="489"/>
      <c r="G300" s="489"/>
      <c r="H300" s="489"/>
    </row>
    <row r="301" spans="2:8" ht="15.75">
      <c r="B301" s="497"/>
      <c r="C301" s="489"/>
      <c r="D301" s="489"/>
      <c r="E301" s="489"/>
      <c r="F301" s="489"/>
      <c r="G301" s="489"/>
      <c r="H301" s="489"/>
    </row>
    <row r="302" spans="2:8" ht="15.75">
      <c r="B302" s="497"/>
      <c r="C302" s="489"/>
      <c r="D302" s="489"/>
      <c r="E302" s="489"/>
      <c r="F302" s="489"/>
      <c r="G302" s="489"/>
      <c r="H302" s="489"/>
    </row>
    <row r="303" spans="2:8" ht="15.75">
      <c r="B303" s="497"/>
      <c r="C303" s="489"/>
      <c r="D303" s="489"/>
      <c r="E303" s="489"/>
      <c r="F303" s="489"/>
      <c r="G303" s="489"/>
      <c r="H303" s="489"/>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41:G41"/>
    <mergeCell ref="B45:G45"/>
    <mergeCell ref="B47:H47"/>
    <mergeCell ref="B98:G98"/>
    <mergeCell ref="B102:G102"/>
    <mergeCell ref="B105:H105"/>
    <mergeCell ref="B3:H3"/>
    <mergeCell ref="B75:H75"/>
    <mergeCell ref="B48:H48"/>
    <mergeCell ref="B49:H49"/>
    <mergeCell ref="B70:G70"/>
    <mergeCell ref="B74:G74"/>
    <mergeCell ref="B76:H76"/>
    <mergeCell ref="B77:H77"/>
  </mergeCells>
  <phoneticPr fontId="60" type="noConversion"/>
  <printOptions horizontalCentered="1"/>
  <pageMargins left="0.5" right="0.5" top="0.71" bottom="0.5" header="0.33" footer="0.5"/>
  <pageSetup scale="37" orientation="portrait"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C615-EC04-42BA-ACCF-39FFA1505A36}">
  <sheetPr>
    <tabColor theme="6" tint="-0.499984740745262"/>
    <pageSetUpPr fitToPage="1"/>
  </sheetPr>
  <dimension ref="A1:N46"/>
  <sheetViews>
    <sheetView view="pageBreakPreview" zoomScale="60" zoomScaleNormal="70" workbookViewId="0">
      <selection activeCell="A2" sqref="A2:K2"/>
    </sheetView>
  </sheetViews>
  <sheetFormatPr defaultRowHeight="15"/>
  <cols>
    <col min="1" max="1" width="5.88671875" customWidth="1"/>
    <col min="2" max="2" width="7.44140625" customWidth="1"/>
    <col min="3" max="3" width="39.44140625" customWidth="1"/>
    <col min="4" max="4" width="14.6640625" customWidth="1"/>
    <col min="5" max="10" width="14.5546875" customWidth="1"/>
    <col min="11" max="11" width="17.5546875" bestFit="1" customWidth="1"/>
    <col min="12" max="14" width="15.77734375" customWidth="1"/>
  </cols>
  <sheetData>
    <row r="1" spans="1:14" ht="15.75">
      <c r="A1" s="1732" t="str">
        <f>+'Appendix III'!E8</f>
        <v>MidAmerican Central California Transco, LLC</v>
      </c>
      <c r="B1" s="1732"/>
      <c r="C1" s="1732"/>
      <c r="D1" s="1732"/>
      <c r="E1" s="1732"/>
      <c r="F1" s="1732"/>
      <c r="G1" s="1732"/>
      <c r="H1" s="1732"/>
      <c r="I1" s="1732"/>
      <c r="J1" s="1732"/>
      <c r="K1" s="1732"/>
      <c r="L1" s="1609"/>
      <c r="M1" s="1609"/>
      <c r="N1" s="1609"/>
    </row>
    <row r="2" spans="1:14" ht="15.75">
      <c r="A2" s="1732" t="s">
        <v>1097</v>
      </c>
      <c r="B2" s="1732"/>
      <c r="C2" s="1732"/>
      <c r="D2" s="1732"/>
      <c r="E2" s="1732"/>
      <c r="F2" s="1732"/>
      <c r="G2" s="1732"/>
      <c r="H2" s="1732"/>
      <c r="I2" s="1732"/>
      <c r="J2" s="1732"/>
      <c r="K2" s="1732"/>
      <c r="L2" s="1609"/>
      <c r="M2" s="1609"/>
      <c r="N2" s="1609"/>
    </row>
    <row r="3" spans="1:14" ht="15.75">
      <c r="A3" s="1732" t="str">
        <f>+'Appendix III'!M7</f>
        <v>For the 12 months ended 12/31/2020, Excess Deferred Update</v>
      </c>
      <c r="B3" s="1732"/>
      <c r="C3" s="1732"/>
      <c r="D3" s="1732"/>
      <c r="E3" s="1732"/>
      <c r="F3" s="1732"/>
      <c r="G3" s="1732"/>
      <c r="H3" s="1732"/>
      <c r="I3" s="1732"/>
      <c r="J3" s="1732"/>
      <c r="K3" s="1732"/>
      <c r="L3" s="1609"/>
      <c r="M3" s="1609"/>
      <c r="N3" s="1609"/>
    </row>
    <row r="4" spans="1:14">
      <c r="A4" s="882"/>
      <c r="B4" s="882"/>
      <c r="C4" s="882"/>
      <c r="D4" s="923"/>
      <c r="E4" s="923"/>
      <c r="F4" s="923"/>
      <c r="G4" s="923"/>
      <c r="H4" s="923"/>
      <c r="I4" s="923"/>
      <c r="J4" s="1330"/>
      <c r="K4" s="1330"/>
      <c r="L4" s="1330"/>
    </row>
    <row r="5" spans="1:14">
      <c r="A5" s="1508"/>
      <c r="B5" s="1606"/>
      <c r="C5" s="1508"/>
      <c r="D5" s="1509"/>
      <c r="E5" s="1509"/>
      <c r="F5" s="1509"/>
      <c r="G5" s="1509"/>
      <c r="H5" s="1509"/>
      <c r="I5" s="1509"/>
      <c r="J5" s="1510"/>
      <c r="K5" s="1508"/>
      <c r="L5" s="1613"/>
      <c r="M5" s="1613"/>
      <c r="N5" s="1613"/>
    </row>
    <row r="6" spans="1:14" ht="15.75">
      <c r="A6" s="1510"/>
      <c r="B6" s="1602"/>
      <c r="C6" s="1510"/>
      <c r="D6" s="923"/>
      <c r="E6" s="923"/>
      <c r="F6" s="923"/>
      <c r="G6" s="923"/>
      <c r="H6" s="923"/>
      <c r="I6" s="923"/>
      <c r="J6" s="1330"/>
      <c r="K6" s="1330"/>
      <c r="L6" s="1609"/>
      <c r="M6" s="1609"/>
      <c r="N6" s="1614" t="s">
        <v>1098</v>
      </c>
    </row>
    <row r="7" spans="1:14" ht="15.75">
      <c r="A7" s="1510"/>
      <c r="B7" s="1602"/>
      <c r="C7" s="1511"/>
      <c r="D7" s="1617">
        <v>43830</v>
      </c>
      <c r="E7" s="1617">
        <v>43830</v>
      </c>
      <c r="F7" s="1617">
        <v>43830</v>
      </c>
      <c r="G7" s="1626">
        <v>2020</v>
      </c>
      <c r="H7" s="1626">
        <f>G7</f>
        <v>2020</v>
      </c>
      <c r="I7" s="1617">
        <v>44196</v>
      </c>
      <c r="J7" s="1330"/>
      <c r="K7" s="1330"/>
      <c r="L7" s="1609"/>
      <c r="M7" s="1609"/>
      <c r="N7" s="1609"/>
    </row>
    <row r="8" spans="1:14" ht="15.75" thickBot="1">
      <c r="A8" s="1512" t="s">
        <v>16</v>
      </c>
      <c r="B8" s="1603"/>
      <c r="C8" s="1513" t="s">
        <v>459</v>
      </c>
      <c r="D8" s="1514" t="s">
        <v>591</v>
      </c>
      <c r="E8" s="1514" t="s">
        <v>590</v>
      </c>
      <c r="F8" s="1514" t="s">
        <v>589</v>
      </c>
      <c r="G8" s="1514" t="s">
        <v>588</v>
      </c>
      <c r="H8" s="1513" t="s">
        <v>587</v>
      </c>
      <c r="I8" s="1513" t="s">
        <v>586</v>
      </c>
      <c r="J8" s="1514" t="s">
        <v>585</v>
      </c>
      <c r="K8" s="1513" t="s">
        <v>848</v>
      </c>
      <c r="L8" s="1618" t="s">
        <v>849</v>
      </c>
      <c r="M8" s="1618" t="s">
        <v>850</v>
      </c>
      <c r="N8" s="1618" t="s">
        <v>851</v>
      </c>
    </row>
    <row r="9" spans="1:14">
      <c r="A9" s="882"/>
      <c r="B9" s="882"/>
      <c r="C9" s="882"/>
      <c r="D9" s="1515"/>
      <c r="E9" s="1515"/>
      <c r="F9" s="1515"/>
      <c r="G9" s="1515"/>
      <c r="H9" s="1515"/>
      <c r="I9" s="1515"/>
      <c r="J9" s="1511"/>
      <c r="K9" s="1511"/>
      <c r="L9" s="1619"/>
      <c r="M9" s="1619"/>
      <c r="N9" s="1619"/>
    </row>
    <row r="10" spans="1:14" ht="51.75">
      <c r="A10" s="1641" t="s">
        <v>303</v>
      </c>
      <c r="B10" s="1516" t="s">
        <v>661</v>
      </c>
      <c r="C10" s="1521" t="s">
        <v>267</v>
      </c>
      <c r="D10" s="1522" t="s">
        <v>1099</v>
      </c>
      <c r="E10" s="1601" t="s">
        <v>1181</v>
      </c>
      <c r="F10" s="1601" t="s">
        <v>1182</v>
      </c>
      <c r="G10" s="1522" t="s">
        <v>1100</v>
      </c>
      <c r="H10" s="1522" t="s">
        <v>1101</v>
      </c>
      <c r="I10" s="1522" t="s">
        <v>1102</v>
      </c>
      <c r="J10" s="1523" t="s">
        <v>1103</v>
      </c>
      <c r="K10" s="1523" t="s">
        <v>1104</v>
      </c>
      <c r="L10" s="1608" t="s">
        <v>1183</v>
      </c>
      <c r="M10" s="1608" t="s">
        <v>1184</v>
      </c>
      <c r="N10" s="1608" t="s">
        <v>1185</v>
      </c>
    </row>
    <row r="11" spans="1:14">
      <c r="A11" s="882"/>
      <c r="B11" s="882"/>
      <c r="C11" s="1524"/>
      <c r="D11" s="1525"/>
      <c r="E11" s="1525"/>
      <c r="F11" s="1525"/>
      <c r="G11" s="1525"/>
      <c r="H11" s="1525"/>
      <c r="I11" s="1525"/>
      <c r="J11" s="1526"/>
      <c r="K11" s="1526"/>
      <c r="L11" s="1619"/>
      <c r="M11" s="1619"/>
      <c r="N11" s="1619"/>
    </row>
    <row r="12" spans="1:14" ht="15.75">
      <c r="A12" s="882"/>
      <c r="B12" s="882"/>
      <c r="C12" s="1733" t="s">
        <v>1186</v>
      </c>
      <c r="D12" s="1733"/>
      <c r="E12" s="1733"/>
      <c r="F12" s="1733"/>
      <c r="G12" s="1733"/>
      <c r="H12" s="1733"/>
      <c r="I12" s="1733"/>
      <c r="J12" s="1731"/>
      <c r="K12" s="1731"/>
      <c r="L12" s="1731"/>
      <c r="M12" s="1731"/>
      <c r="N12" s="1731"/>
    </row>
    <row r="13" spans="1:14">
      <c r="A13" s="1517">
        <v>1</v>
      </c>
      <c r="B13" s="1604">
        <v>190</v>
      </c>
      <c r="C13" s="1539"/>
      <c r="D13" s="1611">
        <v>0</v>
      </c>
      <c r="E13" s="1540">
        <v>0</v>
      </c>
      <c r="F13" s="1540">
        <v>0</v>
      </c>
      <c r="G13" s="1540">
        <v>0</v>
      </c>
      <c r="H13" s="1540">
        <v>0</v>
      </c>
      <c r="I13" s="1540">
        <f>SUM(D13:H13)</f>
        <v>0</v>
      </c>
      <c r="J13" s="1541"/>
      <c r="K13" s="1541"/>
      <c r="L13" s="1615">
        <f>I13/(1-0.2798)</f>
        <v>0</v>
      </c>
      <c r="M13" s="1615"/>
      <c r="N13" s="1620">
        <v>410.1</v>
      </c>
    </row>
    <row r="14" spans="1:14">
      <c r="A14" s="1517">
        <v>2</v>
      </c>
      <c r="B14" s="1604"/>
      <c r="C14" s="1539"/>
      <c r="D14" s="1615">
        <v>0</v>
      </c>
      <c r="E14" s="1542">
        <v>0</v>
      </c>
      <c r="F14" s="1542">
        <v>0</v>
      </c>
      <c r="G14" s="1542">
        <v>0</v>
      </c>
      <c r="H14" s="1542">
        <v>0</v>
      </c>
      <c r="I14" s="1540">
        <f>SUM(D14:H14)</f>
        <v>0</v>
      </c>
      <c r="J14" s="1541"/>
      <c r="K14" s="1541"/>
      <c r="L14" s="1615">
        <f>I14/(1-0.2798)</f>
        <v>0</v>
      </c>
      <c r="M14" s="1615"/>
      <c r="N14" s="1620">
        <v>410.1</v>
      </c>
    </row>
    <row r="15" spans="1:14">
      <c r="A15" s="1517">
        <f>+A14+1</f>
        <v>3</v>
      </c>
      <c r="B15" s="1604"/>
      <c r="C15" s="1543"/>
      <c r="D15" s="1542"/>
      <c r="E15" s="1542"/>
      <c r="F15" s="1542"/>
      <c r="G15" s="1542"/>
      <c r="H15" s="1542"/>
      <c r="I15" s="1540"/>
      <c r="J15" s="1541"/>
      <c r="K15" s="1541"/>
      <c r="L15" s="1615"/>
      <c r="M15" s="1615"/>
      <c r="N15" s="1620"/>
    </row>
    <row r="16" spans="1:14">
      <c r="A16" s="1517">
        <f t="shared" ref="A16:A39" si="0">+A15+1</f>
        <v>4</v>
      </c>
      <c r="B16" s="1604"/>
      <c r="C16" s="1543"/>
      <c r="D16" s="1542"/>
      <c r="E16" s="1542"/>
      <c r="F16" s="1542"/>
      <c r="G16" s="1542"/>
      <c r="H16" s="1542"/>
      <c r="I16" s="1540"/>
      <c r="J16" s="1541"/>
      <c r="K16" s="1541"/>
      <c r="L16" s="1615"/>
      <c r="M16" s="1615"/>
      <c r="N16" s="1620"/>
    </row>
    <row r="17" spans="1:14">
      <c r="A17" s="1517">
        <f t="shared" si="0"/>
        <v>5</v>
      </c>
      <c r="B17" s="1604"/>
      <c r="C17" s="1544"/>
      <c r="D17" s="1545"/>
      <c r="E17" s="1545"/>
      <c r="F17" s="1545"/>
      <c r="G17" s="1545"/>
      <c r="H17" s="1545"/>
      <c r="I17" s="1545"/>
      <c r="J17" s="1546"/>
      <c r="K17" s="1546"/>
      <c r="L17" s="1619"/>
      <c r="M17" s="1619"/>
      <c r="N17" s="1621"/>
    </row>
    <row r="18" spans="1:14">
      <c r="A18" s="1517">
        <f t="shared" si="0"/>
        <v>6</v>
      </c>
      <c r="B18" s="1604"/>
      <c r="C18" s="1544" t="s">
        <v>1105</v>
      </c>
      <c r="D18" s="1547">
        <f>SUM(D13:D17)</f>
        <v>0</v>
      </c>
      <c r="E18" s="1547"/>
      <c r="F18" s="1547"/>
      <c r="G18" s="1547">
        <f>SUM(G13:G17)</f>
        <v>0</v>
      </c>
      <c r="H18" s="1547">
        <f>SUM(H13:H17)</f>
        <v>0</v>
      </c>
      <c r="I18" s="1547">
        <f>SUM(I13:I17)</f>
        <v>0</v>
      </c>
      <c r="J18" s="1546"/>
      <c r="K18" s="1546"/>
      <c r="L18" s="1622">
        <f>SUM(L13:L17)</f>
        <v>0</v>
      </c>
      <c r="M18" s="1622">
        <f>SUM(M13:M17)</f>
        <v>0</v>
      </c>
      <c r="N18" s="1621"/>
    </row>
    <row r="19" spans="1:14">
      <c r="A19" s="1517">
        <f t="shared" si="0"/>
        <v>7</v>
      </c>
      <c r="B19" s="1604"/>
      <c r="C19" s="1544"/>
      <c r="D19" s="1545"/>
      <c r="E19" s="1545"/>
      <c r="F19" s="1545"/>
      <c r="G19" s="1545"/>
      <c r="H19" s="1545"/>
      <c r="I19" s="1545"/>
      <c r="J19" s="1546"/>
      <c r="K19" s="1546"/>
      <c r="L19" s="1619"/>
      <c r="M19" s="1619"/>
      <c r="N19" s="1621"/>
    </row>
    <row r="20" spans="1:14" ht="15.75">
      <c r="A20" s="1517">
        <f>+A19+1</f>
        <v>8</v>
      </c>
      <c r="B20" s="1604"/>
      <c r="C20" s="1733" t="s">
        <v>1187</v>
      </c>
      <c r="D20" s="1733"/>
      <c r="E20" s="1733"/>
      <c r="F20" s="1733"/>
      <c r="G20" s="1733"/>
      <c r="H20" s="1733"/>
      <c r="I20" s="1733"/>
      <c r="J20" s="1731"/>
      <c r="K20" s="1731"/>
      <c r="L20" s="1731"/>
      <c r="M20" s="1731"/>
      <c r="N20" s="1731"/>
    </row>
    <row r="21" spans="1:14">
      <c r="A21" s="1517">
        <f t="shared" si="0"/>
        <v>9</v>
      </c>
      <c r="B21" s="1604">
        <v>283</v>
      </c>
      <c r="C21" s="1610"/>
      <c r="D21" s="1611">
        <v>0</v>
      </c>
      <c r="E21" s="1540">
        <v>0</v>
      </c>
      <c r="F21" s="1540">
        <v>0</v>
      </c>
      <c r="G21" s="1540">
        <v>0</v>
      </c>
      <c r="H21" s="1540">
        <v>0</v>
      </c>
      <c r="I21" s="1540">
        <f>SUM(D21:H21)</f>
        <v>0</v>
      </c>
      <c r="J21" s="1541"/>
      <c r="K21" s="1541"/>
      <c r="L21" s="1615">
        <f>I21/(1-0.2798)</f>
        <v>0</v>
      </c>
      <c r="M21" s="1615"/>
      <c r="N21" s="1620">
        <v>411.1</v>
      </c>
    </row>
    <row r="22" spans="1:14">
      <c r="A22" s="1517">
        <f t="shared" si="0"/>
        <v>10</v>
      </c>
      <c r="B22" s="1604"/>
      <c r="C22" s="1539"/>
      <c r="D22" s="1548"/>
      <c r="E22" s="1548"/>
      <c r="F22" s="1548"/>
      <c r="G22" s="1549"/>
      <c r="H22" s="1549"/>
      <c r="I22" s="1540"/>
      <c r="J22" s="1541"/>
      <c r="K22" s="1541"/>
      <c r="L22" s="1615"/>
      <c r="M22" s="1615"/>
      <c r="N22" s="1620"/>
    </row>
    <row r="23" spans="1:14">
      <c r="A23" s="1517">
        <f t="shared" si="0"/>
        <v>11</v>
      </c>
      <c r="B23" s="1604"/>
      <c r="C23" s="1539"/>
      <c r="D23" s="1548"/>
      <c r="E23" s="1548"/>
      <c r="F23" s="1548"/>
      <c r="G23" s="1549"/>
      <c r="H23" s="1549"/>
      <c r="I23" s="1548"/>
      <c r="J23" s="1550"/>
      <c r="K23" s="1550"/>
      <c r="L23" s="1615"/>
      <c r="M23" s="1615"/>
      <c r="N23" s="1620"/>
    </row>
    <row r="24" spans="1:14">
      <c r="A24" s="1517">
        <f t="shared" si="0"/>
        <v>12</v>
      </c>
      <c r="B24" s="1604"/>
      <c r="C24" s="1544"/>
      <c r="D24" s="1551"/>
      <c r="E24" s="1551"/>
      <c r="F24" s="1551"/>
      <c r="G24" s="1551"/>
      <c r="H24" s="1551"/>
      <c r="I24" s="1551"/>
      <c r="J24" s="1546"/>
      <c r="K24" s="1546"/>
      <c r="L24" s="1619"/>
      <c r="M24" s="1619"/>
      <c r="N24" s="1621"/>
    </row>
    <row r="25" spans="1:14">
      <c r="A25" s="1517">
        <f t="shared" si="0"/>
        <v>13</v>
      </c>
      <c r="B25" s="1604"/>
      <c r="C25" s="1544" t="s">
        <v>1106</v>
      </c>
      <c r="D25" s="1547">
        <f>SUM(D21:D24)</f>
        <v>0</v>
      </c>
      <c r="E25" s="1547"/>
      <c r="F25" s="1547"/>
      <c r="G25" s="1547">
        <f>SUM(G21:G24)</f>
        <v>0</v>
      </c>
      <c r="H25" s="1547">
        <f>SUM(H21:H24)</f>
        <v>0</v>
      </c>
      <c r="I25" s="1547">
        <f>SUM(I21:I24)</f>
        <v>0</v>
      </c>
      <c r="J25" s="1546"/>
      <c r="K25" s="1546"/>
      <c r="L25" s="1622">
        <f>SUM(L21:L24)</f>
        <v>0</v>
      </c>
      <c r="M25" s="1622">
        <f>SUM(M21:M24)</f>
        <v>0</v>
      </c>
      <c r="N25" s="1621"/>
    </row>
    <row r="26" spans="1:14">
      <c r="A26" s="1517">
        <f t="shared" si="0"/>
        <v>14</v>
      </c>
      <c r="B26" s="1604"/>
      <c r="C26" s="1544"/>
      <c r="D26" s="1552"/>
      <c r="E26" s="1552"/>
      <c r="F26" s="1552"/>
      <c r="G26" s="1552"/>
      <c r="H26" s="1552"/>
      <c r="I26" s="1552"/>
      <c r="J26" s="1546"/>
      <c r="K26" s="1546"/>
      <c r="L26" s="1619"/>
      <c r="M26" s="1619"/>
      <c r="N26" s="1621"/>
    </row>
    <row r="27" spans="1:14">
      <c r="A27" s="1517">
        <f t="shared" si="0"/>
        <v>15</v>
      </c>
      <c r="B27" s="1604"/>
      <c r="C27" s="1544"/>
      <c r="D27" s="1552"/>
      <c r="E27" s="1552"/>
      <c r="F27" s="1552"/>
      <c r="G27" s="1552"/>
      <c r="H27" s="1552"/>
      <c r="I27" s="1552"/>
      <c r="J27" s="1546"/>
      <c r="K27" s="1546"/>
      <c r="L27" s="1619"/>
      <c r="M27" s="1619"/>
      <c r="N27" s="1621"/>
    </row>
    <row r="28" spans="1:14">
      <c r="A28" s="1517">
        <f t="shared" si="0"/>
        <v>16</v>
      </c>
      <c r="B28" s="1604"/>
      <c r="C28" s="1544"/>
      <c r="D28" s="1552"/>
      <c r="E28" s="1552"/>
      <c r="F28" s="1552"/>
      <c r="G28" s="1552"/>
      <c r="H28" s="1552"/>
      <c r="I28" s="1552"/>
      <c r="J28" s="1546"/>
      <c r="K28" s="1546"/>
      <c r="L28" s="1619"/>
      <c r="M28" s="1619"/>
      <c r="N28" s="1621"/>
    </row>
    <row r="29" spans="1:14">
      <c r="A29" s="1517">
        <f t="shared" si="0"/>
        <v>17</v>
      </c>
      <c r="B29" s="1604"/>
      <c r="C29" s="1544"/>
      <c r="D29" s="1551"/>
      <c r="E29" s="1551"/>
      <c r="F29" s="1551"/>
      <c r="G29" s="1551"/>
      <c r="H29" s="1551"/>
      <c r="I29" s="1551"/>
      <c r="J29" s="1546"/>
      <c r="K29" s="1546"/>
      <c r="L29" s="1619"/>
      <c r="M29" s="1619"/>
      <c r="N29" s="1621"/>
    </row>
    <row r="30" spans="1:14" ht="15.75">
      <c r="A30" s="1517">
        <f t="shared" si="0"/>
        <v>18</v>
      </c>
      <c r="B30" s="1604"/>
      <c r="C30" s="1730" t="s">
        <v>1188</v>
      </c>
      <c r="D30" s="1730"/>
      <c r="E30" s="1730"/>
      <c r="F30" s="1730"/>
      <c r="G30" s="1730"/>
      <c r="H30" s="1730"/>
      <c r="I30" s="1730"/>
      <c r="J30" s="1731"/>
      <c r="K30" s="1731"/>
      <c r="L30" s="1731"/>
      <c r="M30" s="1731"/>
      <c r="N30" s="1731"/>
    </row>
    <row r="31" spans="1:14">
      <c r="A31" s="1517">
        <f t="shared" si="0"/>
        <v>19</v>
      </c>
      <c r="B31" s="1604">
        <v>282</v>
      </c>
      <c r="C31" s="1539"/>
      <c r="D31" s="1542">
        <v>0</v>
      </c>
      <c r="E31" s="1542"/>
      <c r="F31" s="1542"/>
      <c r="G31" s="1542"/>
      <c r="H31" s="1542">
        <v>0</v>
      </c>
      <c r="I31" s="1540">
        <f>SUM(D31:H31)</f>
        <v>0</v>
      </c>
      <c r="J31" s="1541"/>
      <c r="K31" s="1541"/>
      <c r="L31" s="1615"/>
      <c r="M31" s="1615">
        <f>I31/(1-0.2798)</f>
        <v>0</v>
      </c>
      <c r="N31" s="1620">
        <v>411.1</v>
      </c>
    </row>
    <row r="32" spans="1:14">
      <c r="A32" s="1517">
        <f t="shared" si="0"/>
        <v>20</v>
      </c>
      <c r="B32" s="1604"/>
      <c r="C32" s="1539"/>
      <c r="D32" s="1542">
        <v>0</v>
      </c>
      <c r="E32" s="1542"/>
      <c r="F32" s="1542"/>
      <c r="G32" s="1542"/>
      <c r="H32" s="1542">
        <v>0</v>
      </c>
      <c r="I32" s="1540">
        <f>SUM(D32:H32)</f>
        <v>0</v>
      </c>
      <c r="J32" s="1541"/>
      <c r="K32" s="1541"/>
      <c r="L32" s="1615"/>
      <c r="M32" s="1615">
        <f>I32/(1-0.2798)</f>
        <v>0</v>
      </c>
      <c r="N32" s="1620"/>
    </row>
    <row r="33" spans="1:14">
      <c r="A33" s="1517">
        <f t="shared" si="0"/>
        <v>21</v>
      </c>
      <c r="B33" s="1604"/>
      <c r="C33" s="1539"/>
      <c r="D33" s="1542">
        <v>0</v>
      </c>
      <c r="E33" s="1542"/>
      <c r="F33" s="1542"/>
      <c r="G33" s="1542"/>
      <c r="H33" s="1542">
        <v>0</v>
      </c>
      <c r="I33" s="1540">
        <f>SUM(D33:H33)</f>
        <v>0</v>
      </c>
      <c r="J33" s="1541"/>
      <c r="K33" s="1541"/>
      <c r="L33" s="1615"/>
      <c r="M33" s="1615"/>
      <c r="N33" s="1620"/>
    </row>
    <row r="34" spans="1:14">
      <c r="A34" s="1517">
        <f t="shared" si="0"/>
        <v>22</v>
      </c>
      <c r="B34" s="1604"/>
      <c r="C34" s="1543"/>
      <c r="D34" s="1542"/>
      <c r="E34" s="1542"/>
      <c r="F34" s="1542"/>
      <c r="G34" s="1542"/>
      <c r="H34" s="1542"/>
      <c r="I34" s="1542"/>
      <c r="J34" s="1553"/>
      <c r="K34" s="1553"/>
      <c r="L34" s="1615"/>
      <c r="M34" s="1615"/>
      <c r="N34" s="1620"/>
    </row>
    <row r="35" spans="1:14">
      <c r="A35" s="1517">
        <f t="shared" si="0"/>
        <v>23</v>
      </c>
      <c r="B35" s="1604"/>
      <c r="C35" s="1544" t="s">
        <v>1107</v>
      </c>
      <c r="D35" s="1554">
        <f>SUM(D31:D34)</f>
        <v>0</v>
      </c>
      <c r="E35" s="1554"/>
      <c r="F35" s="1554"/>
      <c r="G35" s="1554">
        <f>SUM(G31:G34)</f>
        <v>0</v>
      </c>
      <c r="H35" s="1554">
        <f>SUM(H31:H34)</f>
        <v>0</v>
      </c>
      <c r="I35" s="1554">
        <f>SUM(I31:I34)</f>
        <v>0</v>
      </c>
      <c r="J35" s="1555"/>
      <c r="K35" s="1555"/>
      <c r="L35" s="1616">
        <f>SUM(L31:L34)</f>
        <v>0</v>
      </c>
      <c r="M35" s="1616">
        <f>SUM(M31:M34)</f>
        <v>0</v>
      </c>
      <c r="N35" s="1619"/>
    </row>
    <row r="36" spans="1:14">
      <c r="A36" s="1517">
        <f t="shared" si="0"/>
        <v>24</v>
      </c>
      <c r="B36" s="1604"/>
      <c r="C36" s="1524"/>
      <c r="D36" s="1527"/>
      <c r="E36" s="1527"/>
      <c r="F36" s="1527"/>
      <c r="G36" s="1527"/>
      <c r="H36" s="1527"/>
      <c r="I36" s="1527"/>
      <c r="J36" s="1526"/>
      <c r="K36" s="1526"/>
      <c r="L36" s="1623"/>
      <c r="M36" s="1623"/>
      <c r="N36" s="1619"/>
    </row>
    <row r="37" spans="1:14">
      <c r="A37" s="1517">
        <f t="shared" si="0"/>
        <v>25</v>
      </c>
      <c r="B37" s="1604"/>
      <c r="C37" s="1524"/>
      <c r="D37" s="1527"/>
      <c r="E37" s="1527"/>
      <c r="F37" s="1527"/>
      <c r="G37" s="1527"/>
      <c r="H37" s="1527"/>
      <c r="I37" s="1527"/>
      <c r="J37" s="1526"/>
      <c r="K37" s="1526"/>
      <c r="L37" s="1623"/>
      <c r="M37" s="1623"/>
      <c r="N37" s="1619"/>
    </row>
    <row r="38" spans="1:14" ht="15.75" thickBot="1">
      <c r="A38" s="1517">
        <f t="shared" si="0"/>
        <v>26</v>
      </c>
      <c r="B38" s="1604"/>
      <c r="C38" s="1528" t="s">
        <v>1108</v>
      </c>
      <c r="D38" s="1529">
        <f t="shared" ref="D38:H38" si="1">+D18+D25+D35</f>
        <v>0</v>
      </c>
      <c r="E38" s="1529">
        <f t="shared" si="1"/>
        <v>0</v>
      </c>
      <c r="F38" s="1529">
        <f t="shared" si="1"/>
        <v>0</v>
      </c>
      <c r="G38" s="1529">
        <f t="shared" si="1"/>
        <v>0</v>
      </c>
      <c r="H38" s="1529">
        <f t="shared" si="1"/>
        <v>0</v>
      </c>
      <c r="I38" s="1529">
        <f>+I18+I25+I35</f>
        <v>0</v>
      </c>
      <c r="J38" s="1526"/>
      <c r="K38" s="1526"/>
      <c r="L38" s="1624">
        <f>+L18+L25+L35</f>
        <v>0</v>
      </c>
      <c r="M38" s="1624">
        <f>+M18+M25+M35</f>
        <v>0</v>
      </c>
      <c r="N38" s="1625">
        <v>0</v>
      </c>
    </row>
    <row r="39" spans="1:14" ht="15.75" thickTop="1">
      <c r="A39" s="1517">
        <f t="shared" si="0"/>
        <v>27</v>
      </c>
      <c r="B39" s="1604"/>
      <c r="C39" s="1524"/>
      <c r="D39" s="1527"/>
      <c r="E39" s="1527"/>
      <c r="F39" s="1527"/>
      <c r="G39" s="1527"/>
      <c r="H39" s="1527"/>
      <c r="I39" s="1527"/>
      <c r="J39" s="1526"/>
      <c r="K39" s="1526"/>
      <c r="L39" s="1619"/>
      <c r="M39" s="1619"/>
      <c r="N39" s="1619"/>
    </row>
    <row r="40" spans="1:14">
      <c r="A40" s="882"/>
      <c r="B40" s="882"/>
      <c r="C40" s="1524"/>
      <c r="D40" s="1527"/>
      <c r="E40" s="1527"/>
      <c r="F40" s="1527"/>
      <c r="G40" s="1527"/>
      <c r="H40" s="1527"/>
      <c r="I40" s="1527"/>
      <c r="J40" s="1526"/>
      <c r="K40" s="1526"/>
      <c r="L40" s="1619"/>
      <c r="M40" s="1619"/>
      <c r="N40" s="1619"/>
    </row>
    <row r="41" spans="1:14">
      <c r="A41" s="882"/>
      <c r="B41" s="882"/>
      <c r="C41" s="1524"/>
      <c r="D41" s="1527"/>
      <c r="E41" s="1527"/>
      <c r="F41" s="1527"/>
      <c r="G41" s="1527"/>
      <c r="H41" s="1527"/>
      <c r="I41" s="1527"/>
      <c r="J41" s="1526"/>
      <c r="K41" s="1526"/>
      <c r="L41" s="1619"/>
      <c r="M41" s="1619"/>
      <c r="N41" s="1619"/>
    </row>
    <row r="42" spans="1:14">
      <c r="A42" s="1519" t="s">
        <v>878</v>
      </c>
      <c r="B42" s="1605"/>
      <c r="C42" s="1524"/>
      <c r="D42" s="1527"/>
      <c r="E42" s="1527"/>
      <c r="F42" s="1527"/>
      <c r="G42" s="1527"/>
      <c r="H42" s="1527"/>
      <c r="I42" s="1527"/>
      <c r="J42" s="1526"/>
      <c r="K42" s="1526"/>
      <c r="L42" s="1612"/>
      <c r="M42" s="1612"/>
      <c r="N42" s="1612"/>
    </row>
    <row r="43" spans="1:14">
      <c r="A43" s="1520" t="s">
        <v>76</v>
      </c>
      <c r="B43" s="1607"/>
      <c r="C43" s="1530" t="s">
        <v>1201</v>
      </c>
      <c r="D43" s="1527"/>
      <c r="E43" s="1527"/>
      <c r="F43" s="1527"/>
      <c r="G43" s="1527"/>
      <c r="H43" s="1527"/>
      <c r="I43" s="1527"/>
      <c r="J43" s="1526"/>
      <c r="K43" s="1526"/>
      <c r="L43" s="1612"/>
      <c r="M43" s="1612"/>
      <c r="N43" s="1612"/>
    </row>
    <row r="44" spans="1:14">
      <c r="A44" s="1520" t="s">
        <v>77</v>
      </c>
      <c r="B44" s="1607"/>
      <c r="C44" s="1524" t="s">
        <v>1109</v>
      </c>
      <c r="D44" s="1527"/>
      <c r="E44" s="1527"/>
      <c r="F44" s="1527"/>
      <c r="G44" s="1527"/>
      <c r="H44" s="1527"/>
      <c r="I44" s="1527"/>
      <c r="J44" s="1526"/>
      <c r="K44" s="1526"/>
      <c r="L44" s="1612"/>
      <c r="M44" s="1612"/>
      <c r="N44" s="1612"/>
    </row>
    <row r="45" spans="1:14">
      <c r="L45" s="1612"/>
      <c r="M45" s="1612"/>
      <c r="N45" s="1612"/>
    </row>
    <row r="46" spans="1:14">
      <c r="L46" s="1612"/>
      <c r="M46" s="1612"/>
      <c r="N46" s="1612"/>
    </row>
  </sheetData>
  <mergeCells count="6">
    <mergeCell ref="C30:N30"/>
    <mergeCell ref="A1:K1"/>
    <mergeCell ref="A2:K2"/>
    <mergeCell ref="A3:K3"/>
    <mergeCell ref="C12:N12"/>
    <mergeCell ref="C20:N20"/>
  </mergeCells>
  <pageMargins left="0.7" right="0.7" top="0.75" bottom="0.75" header="0.3" footer="0.3"/>
  <pageSetup scale="47"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ABD5-7206-4C0A-B4D6-76B9E7E02901}">
  <sheetPr>
    <tabColor theme="6" tint="-0.499984740745262"/>
    <pageSetUpPr fitToPage="1"/>
  </sheetPr>
  <dimension ref="A1:V132"/>
  <sheetViews>
    <sheetView view="pageBreakPreview" zoomScale="60" zoomScaleNormal="85" workbookViewId="0">
      <selection activeCell="T76" sqref="T76"/>
    </sheetView>
  </sheetViews>
  <sheetFormatPr defaultRowHeight="15"/>
  <cols>
    <col min="1" max="1" width="3.44140625" customWidth="1"/>
    <col min="2" max="6" width="16.5546875" customWidth="1"/>
    <col min="7" max="7" width="1.5546875" customWidth="1"/>
    <col min="8" max="10" width="16.5546875" customWidth="1"/>
    <col min="11" max="11" width="1.88671875" customWidth="1"/>
    <col min="12" max="17" width="16.5546875" customWidth="1"/>
    <col min="18" max="18" width="1" customWidth="1"/>
  </cols>
  <sheetData>
    <row r="1" spans="1:22">
      <c r="A1" s="1732" t="str">
        <f>+'Appendix III'!E8</f>
        <v>MidAmerican Central California Transco, LLC</v>
      </c>
      <c r="B1" s="1732"/>
      <c r="C1" s="1732"/>
      <c r="D1" s="1732"/>
      <c r="E1" s="1732"/>
      <c r="F1" s="1732"/>
      <c r="G1" s="1732"/>
      <c r="H1" s="1732"/>
      <c r="I1" s="1732"/>
      <c r="J1" s="1732"/>
      <c r="K1" s="1732"/>
      <c r="L1" s="1732"/>
      <c r="M1" s="1732"/>
      <c r="N1" s="1732"/>
      <c r="O1" s="1732"/>
      <c r="P1" s="1732"/>
      <c r="Q1" s="1732"/>
      <c r="R1" s="1732"/>
      <c r="S1" s="1732"/>
      <c r="T1" s="1732"/>
      <c r="U1" s="1732"/>
      <c r="V1" s="1732"/>
    </row>
    <row r="2" spans="1:22">
      <c r="A2" s="1732" t="s">
        <v>1171</v>
      </c>
      <c r="B2" s="1732"/>
      <c r="C2" s="1732"/>
      <c r="D2" s="1732"/>
      <c r="E2" s="1732"/>
      <c r="F2" s="1732"/>
      <c r="G2" s="1732"/>
      <c r="H2" s="1732"/>
      <c r="I2" s="1732"/>
      <c r="J2" s="1732"/>
      <c r="K2" s="1732"/>
      <c r="L2" s="1732"/>
      <c r="M2" s="1732"/>
      <c r="N2" s="1732"/>
      <c r="O2" s="1732"/>
      <c r="P2" s="1732"/>
      <c r="Q2" s="1732"/>
      <c r="R2" s="1732"/>
      <c r="S2" s="1732"/>
      <c r="T2" s="1732"/>
      <c r="U2" s="1732"/>
      <c r="V2" s="1732"/>
    </row>
    <row r="3" spans="1:22">
      <c r="A3" s="1732" t="str">
        <f>+'Appendix III'!M7</f>
        <v>For the 12 months ended 12/31/2020, Excess Deferred Update</v>
      </c>
      <c r="B3" s="1732"/>
      <c r="C3" s="1732"/>
      <c r="D3" s="1732"/>
      <c r="E3" s="1732"/>
      <c r="F3" s="1732"/>
      <c r="G3" s="1732"/>
      <c r="H3" s="1732"/>
      <c r="I3" s="1732"/>
      <c r="J3" s="1732"/>
      <c r="K3" s="1732"/>
      <c r="L3" s="1732"/>
      <c r="M3" s="1732"/>
      <c r="N3" s="1732"/>
      <c r="O3" s="1732"/>
      <c r="P3" s="1732"/>
      <c r="Q3" s="1732"/>
      <c r="R3" s="1732"/>
      <c r="S3" s="1732"/>
      <c r="T3" s="1732"/>
      <c r="U3" s="1732"/>
      <c r="V3" s="1732"/>
    </row>
    <row r="4" spans="1:22" ht="4.5" customHeight="1"/>
    <row r="5" spans="1:22" ht="3" customHeight="1"/>
    <row r="6" spans="1:22">
      <c r="A6" s="344"/>
      <c r="B6" s="344"/>
      <c r="C6" s="344"/>
      <c r="D6" s="344"/>
      <c r="E6" s="344"/>
      <c r="F6" s="344"/>
      <c r="G6" s="344"/>
      <c r="H6" s="344"/>
      <c r="I6" s="344"/>
      <c r="J6" s="344"/>
      <c r="K6" s="344"/>
      <c r="L6" s="344"/>
      <c r="M6" s="344"/>
      <c r="N6" s="344"/>
      <c r="O6" s="344"/>
      <c r="P6" s="344"/>
      <c r="Q6" s="1531" t="s">
        <v>1206</v>
      </c>
      <c r="R6" s="344"/>
    </row>
    <row r="7" spans="1:22" s="1596" customFormat="1">
      <c r="A7" s="1568"/>
      <c r="B7" s="1742" t="s">
        <v>1110</v>
      </c>
      <c r="C7" s="1742"/>
      <c r="D7" s="1742"/>
      <c r="E7" s="1742"/>
      <c r="F7" s="1742"/>
      <c r="G7" s="1742"/>
      <c r="H7" s="1742"/>
      <c r="I7" s="1742"/>
      <c r="J7" s="1742"/>
      <c r="K7" s="1642"/>
      <c r="L7" s="1742" t="s">
        <v>1111</v>
      </c>
      <c r="M7" s="1742"/>
      <c r="N7" s="1742"/>
      <c r="O7" s="1742"/>
      <c r="P7" s="1742"/>
      <c r="Q7" s="1742"/>
      <c r="R7" s="1571"/>
    </row>
    <row r="8" spans="1:22" s="1596" customFormat="1">
      <c r="A8" s="1568">
        <v>1</v>
      </c>
      <c r="B8" s="1589" t="s">
        <v>1112</v>
      </c>
      <c r="C8" s="882"/>
      <c r="D8" s="882"/>
      <c r="E8" s="882"/>
      <c r="F8" s="882"/>
      <c r="G8" s="882"/>
      <c r="H8" s="1591"/>
      <c r="I8" s="1591"/>
      <c r="J8" s="1591"/>
      <c r="K8" s="1591"/>
      <c r="L8" s="1589" t="s">
        <v>1112</v>
      </c>
      <c r="M8" s="882"/>
      <c r="N8" s="882"/>
      <c r="O8" s="882"/>
      <c r="P8" s="882"/>
      <c r="Q8" s="882"/>
      <c r="R8" s="1571"/>
    </row>
    <row r="9" spans="1:22" s="1596" customFormat="1">
      <c r="A9" s="1568">
        <f>+A8+1</f>
        <v>2</v>
      </c>
      <c r="B9" s="1736" t="s">
        <v>1113</v>
      </c>
      <c r="C9" s="1737"/>
      <c r="D9" s="1737"/>
      <c r="E9" s="1737"/>
      <c r="F9" s="1738"/>
      <c r="G9" s="1590"/>
      <c r="H9" s="1739" t="s">
        <v>1114</v>
      </c>
      <c r="I9" s="1740"/>
      <c r="J9" s="1741"/>
      <c r="K9" s="1591"/>
      <c r="L9" s="1739" t="s">
        <v>1115</v>
      </c>
      <c r="M9" s="1740"/>
      <c r="N9" s="1740"/>
      <c r="O9" s="1740"/>
      <c r="P9" s="1740"/>
      <c r="Q9" s="1740"/>
      <c r="R9" s="1571"/>
    </row>
    <row r="10" spans="1:22" s="1596" customFormat="1">
      <c r="A10" s="1568"/>
      <c r="B10" s="1592" t="s">
        <v>459</v>
      </c>
      <c r="C10" s="1592" t="s">
        <v>591</v>
      </c>
      <c r="D10" s="1592" t="s">
        <v>1116</v>
      </c>
      <c r="E10" s="1592" t="s">
        <v>589</v>
      </c>
      <c r="F10" s="1592" t="s">
        <v>588</v>
      </c>
      <c r="G10" s="1590"/>
      <c r="H10" s="1592" t="s">
        <v>587</v>
      </c>
      <c r="I10" s="1592" t="s">
        <v>586</v>
      </c>
      <c r="J10" s="1592" t="s">
        <v>585</v>
      </c>
      <c r="K10" s="1593"/>
      <c r="L10" s="1592" t="s">
        <v>848</v>
      </c>
      <c r="M10" s="1592" t="s">
        <v>849</v>
      </c>
      <c r="N10" s="1592" t="s">
        <v>850</v>
      </c>
      <c r="O10" s="1592" t="s">
        <v>851</v>
      </c>
      <c r="P10" s="1592" t="s">
        <v>852</v>
      </c>
      <c r="Q10" s="1592" t="s">
        <v>853</v>
      </c>
      <c r="R10" s="1571"/>
    </row>
    <row r="11" spans="1:22" s="1596" customFormat="1" ht="102">
      <c r="A11" s="1568">
        <f>+A9+1</f>
        <v>3</v>
      </c>
      <c r="B11" s="1569" t="s">
        <v>1117</v>
      </c>
      <c r="C11" s="1569" t="s">
        <v>1118</v>
      </c>
      <c r="D11" s="1569" t="s">
        <v>1119</v>
      </c>
      <c r="E11" s="1569" t="s">
        <v>1120</v>
      </c>
      <c r="F11" s="1569" t="s">
        <v>1121</v>
      </c>
      <c r="G11" s="1570"/>
      <c r="H11" s="1569" t="s">
        <v>1122</v>
      </c>
      <c r="I11" s="1569" t="s">
        <v>1123</v>
      </c>
      <c r="J11" s="1569" t="s">
        <v>1124</v>
      </c>
      <c r="K11" s="1570"/>
      <c r="L11" s="1569" t="s">
        <v>1125</v>
      </c>
      <c r="M11" s="1569" t="s">
        <v>1126</v>
      </c>
      <c r="N11" s="1569" t="s">
        <v>1127</v>
      </c>
      <c r="O11" s="1569" t="s">
        <v>1128</v>
      </c>
      <c r="P11" s="1569" t="s">
        <v>1129</v>
      </c>
      <c r="Q11" s="1569" t="s">
        <v>1130</v>
      </c>
      <c r="R11" s="1571"/>
    </row>
    <row r="12" spans="1:22" s="1534" customFormat="1">
      <c r="A12" s="1568">
        <v>4</v>
      </c>
      <c r="B12" s="1571"/>
      <c r="C12" s="1571"/>
      <c r="D12" s="1571"/>
      <c r="E12" s="1571"/>
      <c r="F12" s="1571"/>
      <c r="G12" s="1571"/>
      <c r="H12" s="1571"/>
      <c r="I12" s="1571"/>
      <c r="J12" s="1571"/>
      <c r="K12" s="1571"/>
      <c r="L12" s="1571"/>
      <c r="M12" s="1571"/>
      <c r="N12" s="1571"/>
      <c r="O12" s="1571"/>
      <c r="P12" s="1571"/>
      <c r="Q12" s="1571"/>
      <c r="R12" s="1533"/>
    </row>
    <row r="13" spans="1:22" s="1534" customFormat="1">
      <c r="A13" s="1568">
        <v>5</v>
      </c>
      <c r="B13" s="882" t="s">
        <v>1131</v>
      </c>
      <c r="C13" s="1572"/>
      <c r="D13" s="1573"/>
      <c r="E13" s="1573"/>
      <c r="F13" s="1573"/>
      <c r="G13" s="1573"/>
      <c r="H13" s="1574">
        <f>+J30</f>
        <v>0</v>
      </c>
      <c r="I13" s="1573"/>
      <c r="J13" s="1574">
        <f>+H13</f>
        <v>0</v>
      </c>
      <c r="K13" s="1573"/>
      <c r="L13" s="1574">
        <f>+Q30</f>
        <v>0</v>
      </c>
      <c r="M13" s="1573"/>
      <c r="N13" s="1573"/>
      <c r="O13" s="1573"/>
      <c r="P13" s="1573"/>
      <c r="Q13" s="1574">
        <f>+L13</f>
        <v>0</v>
      </c>
      <c r="R13" s="1533"/>
    </row>
    <row r="14" spans="1:22" s="1534" customFormat="1">
      <c r="A14" s="1568">
        <f t="shared" ref="A14:A26" si="0">+A13+1</f>
        <v>6</v>
      </c>
      <c r="B14" s="1575" t="s">
        <v>155</v>
      </c>
      <c r="C14" s="1574">
        <v>31</v>
      </c>
      <c r="D14" s="1576">
        <f>D15+C15</f>
        <v>335</v>
      </c>
      <c r="E14" s="1576">
        <f>SUM(C14:C25)</f>
        <v>365</v>
      </c>
      <c r="F14" s="1577">
        <f>D14/E14</f>
        <v>0.9178082191780822</v>
      </c>
      <c r="G14" s="1576"/>
      <c r="H14" s="1574">
        <f>(J33-J30)/12</f>
        <v>0</v>
      </c>
      <c r="I14" s="1574">
        <f>+H14*F14</f>
        <v>0</v>
      </c>
      <c r="J14" s="1574">
        <f t="shared" ref="J14:J25" si="1">+I14+J13</f>
        <v>0</v>
      </c>
      <c r="K14" s="1578"/>
      <c r="L14" s="1574">
        <f>(Q33-Q30)/12</f>
        <v>0</v>
      </c>
      <c r="M14" s="1574">
        <f>L14-H14</f>
        <v>0</v>
      </c>
      <c r="N14" s="1574">
        <f>IF(AND(H14&gt;=0,L14&gt;=0),IF(M14&gt;=0,I14,L14/H14*I14),IF(AND(H14&lt;0,L14&lt;0),IF(M14&lt;0,I14,L14/H14*I14),0))</f>
        <v>0</v>
      </c>
      <c r="O14" s="1574">
        <f t="shared" ref="O14:O25" si="2">IF(AND(H14&gt;=0,L14&gt;=0),IF(M14&gt;=0,M14,0),IF(AND(H14&lt;0,L14&lt;0),IF(M14&lt;0,M14,0),0))</f>
        <v>0</v>
      </c>
      <c r="P14" s="1574">
        <f>IF(AND(H14&gt;=0,L14&lt;0),L14,IF(AND(H14&lt;0,L14&gt;=0),L14,0))</f>
        <v>0</v>
      </c>
      <c r="Q14" s="1574">
        <f t="shared" ref="Q14:Q25" si="3">Q13+N14+(O14+P14)*0.5</f>
        <v>0</v>
      </c>
      <c r="R14" s="1533"/>
    </row>
    <row r="15" spans="1:22" s="1534" customFormat="1">
      <c r="A15" s="1568">
        <f t="shared" si="0"/>
        <v>7</v>
      </c>
      <c r="B15" s="1575" t="s">
        <v>154</v>
      </c>
      <c r="C15" s="1579">
        <v>28</v>
      </c>
      <c r="D15" s="1576">
        <f>D16+C16</f>
        <v>307</v>
      </c>
      <c r="E15" s="1576">
        <f>E14</f>
        <v>365</v>
      </c>
      <c r="F15" s="1577">
        <f t="shared" ref="F15:F25" si="4">D15/E15</f>
        <v>0.84109589041095889</v>
      </c>
      <c r="G15" s="1576"/>
      <c r="H15" s="1574">
        <f>+H14</f>
        <v>0</v>
      </c>
      <c r="I15" s="1574">
        <f t="shared" ref="I15:I25" si="5">+H15*F15</f>
        <v>0</v>
      </c>
      <c r="J15" s="1574">
        <f t="shared" si="1"/>
        <v>0</v>
      </c>
      <c r="K15" s="1576"/>
      <c r="L15" s="1574">
        <f>L14</f>
        <v>0</v>
      </c>
      <c r="M15" s="1574">
        <f>L15-H15</f>
        <v>0</v>
      </c>
      <c r="N15" s="1574">
        <f t="shared" ref="N15:N25" si="6">IF(AND(H15&gt;=0,L15&gt;=0),IF(M15&gt;=0,I15,L15/H15*I15),IF(AND(H15&lt;0,L15&lt;0),IF(M15&lt;0,I15,L15/H15*I15),0))</f>
        <v>0</v>
      </c>
      <c r="O15" s="1574">
        <f>IF(AND(H15&gt;=0,L15&gt;=0),IF(M15&gt;=0,M15,0),IF(AND(H15&lt;0,L15&lt;0),IF(M15&lt;0,M15,0),0))</f>
        <v>0</v>
      </c>
      <c r="P15" s="1574">
        <f t="shared" ref="P15:P25" si="7">IF(AND(H15&gt;=0,L15&lt;0),L15,IF(AND(H15&lt;0,L15&gt;=0),L15,0))</f>
        <v>0</v>
      </c>
      <c r="Q15" s="1574">
        <f t="shared" si="3"/>
        <v>0</v>
      </c>
      <c r="R15" s="1533"/>
    </row>
    <row r="16" spans="1:22" s="1534" customFormat="1">
      <c r="A16" s="1568">
        <f t="shared" si="0"/>
        <v>8</v>
      </c>
      <c r="B16" s="1575" t="s">
        <v>153</v>
      </c>
      <c r="C16" s="1574">
        <v>31</v>
      </c>
      <c r="D16" s="1576">
        <f t="shared" ref="D16:D22" si="8">D17+C17</f>
        <v>276</v>
      </c>
      <c r="E16" s="1576">
        <f>E15</f>
        <v>365</v>
      </c>
      <c r="F16" s="1577">
        <f t="shared" si="4"/>
        <v>0.75616438356164384</v>
      </c>
      <c r="G16" s="1576"/>
      <c r="H16" s="1574">
        <f t="shared" ref="H16:H25" si="9">+H15</f>
        <v>0</v>
      </c>
      <c r="I16" s="1574">
        <f t="shared" si="5"/>
        <v>0</v>
      </c>
      <c r="J16" s="1574">
        <f t="shared" si="1"/>
        <v>0</v>
      </c>
      <c r="K16" s="1576"/>
      <c r="L16" s="1574">
        <f t="shared" ref="L16:L25" si="10">L15</f>
        <v>0</v>
      </c>
      <c r="M16" s="1574">
        <f>L16-H16</f>
        <v>0</v>
      </c>
      <c r="N16" s="1574">
        <f t="shared" si="6"/>
        <v>0</v>
      </c>
      <c r="O16" s="1574">
        <f t="shared" si="2"/>
        <v>0</v>
      </c>
      <c r="P16" s="1574">
        <f t="shared" si="7"/>
        <v>0</v>
      </c>
      <c r="Q16" s="1574">
        <f t="shared" si="3"/>
        <v>0</v>
      </c>
      <c r="R16" s="1533"/>
    </row>
    <row r="17" spans="1:18" s="1534" customFormat="1">
      <c r="A17" s="1568">
        <f t="shared" si="0"/>
        <v>9</v>
      </c>
      <c r="B17" s="1575" t="s">
        <v>133</v>
      </c>
      <c r="C17" s="1574">
        <v>30</v>
      </c>
      <c r="D17" s="1576">
        <f>D18+C18</f>
        <v>246</v>
      </c>
      <c r="E17" s="1576">
        <f t="shared" ref="E17:E25" si="11">E16</f>
        <v>365</v>
      </c>
      <c r="F17" s="1577">
        <f t="shared" si="4"/>
        <v>0.67397260273972603</v>
      </c>
      <c r="G17" s="1576"/>
      <c r="H17" s="1574">
        <f t="shared" si="9"/>
        <v>0</v>
      </c>
      <c r="I17" s="1574">
        <f t="shared" si="5"/>
        <v>0</v>
      </c>
      <c r="J17" s="1574">
        <f t="shared" si="1"/>
        <v>0</v>
      </c>
      <c r="K17" s="1576"/>
      <c r="L17" s="1574">
        <f t="shared" si="10"/>
        <v>0</v>
      </c>
      <c r="M17" s="1574">
        <f t="shared" ref="M17:M23" si="12">L17-H17</f>
        <v>0</v>
      </c>
      <c r="N17" s="1574">
        <f t="shared" si="6"/>
        <v>0</v>
      </c>
      <c r="O17" s="1574">
        <f t="shared" si="2"/>
        <v>0</v>
      </c>
      <c r="P17" s="1574">
        <f t="shared" si="7"/>
        <v>0</v>
      </c>
      <c r="Q17" s="1574">
        <f t="shared" si="3"/>
        <v>0</v>
      </c>
      <c r="R17" s="1533"/>
    </row>
    <row r="18" spans="1:18" s="1534" customFormat="1">
      <c r="A18" s="1568">
        <f t="shared" si="0"/>
        <v>10</v>
      </c>
      <c r="B18" s="1575" t="s">
        <v>130</v>
      </c>
      <c r="C18" s="1574">
        <v>31</v>
      </c>
      <c r="D18" s="1576">
        <f t="shared" si="8"/>
        <v>215</v>
      </c>
      <c r="E18" s="1576">
        <f t="shared" si="11"/>
        <v>365</v>
      </c>
      <c r="F18" s="1577">
        <f t="shared" si="4"/>
        <v>0.58904109589041098</v>
      </c>
      <c r="G18" s="1576"/>
      <c r="H18" s="1574">
        <f t="shared" si="9"/>
        <v>0</v>
      </c>
      <c r="I18" s="1574">
        <f t="shared" si="5"/>
        <v>0</v>
      </c>
      <c r="J18" s="1574">
        <f t="shared" si="1"/>
        <v>0</v>
      </c>
      <c r="K18" s="1576"/>
      <c r="L18" s="1574">
        <f t="shared" si="10"/>
        <v>0</v>
      </c>
      <c r="M18" s="1574">
        <f t="shared" si="12"/>
        <v>0</v>
      </c>
      <c r="N18" s="1574">
        <f t="shared" si="6"/>
        <v>0</v>
      </c>
      <c r="O18" s="1574">
        <f t="shared" si="2"/>
        <v>0</v>
      </c>
      <c r="P18" s="1574">
        <f t="shared" si="7"/>
        <v>0</v>
      </c>
      <c r="Q18" s="1574">
        <f t="shared" si="3"/>
        <v>0</v>
      </c>
      <c r="R18" s="1533"/>
    </row>
    <row r="19" spans="1:18" s="1534" customFormat="1">
      <c r="A19" s="1568">
        <f t="shared" si="0"/>
        <v>11</v>
      </c>
      <c r="B19" s="1575" t="s">
        <v>261</v>
      </c>
      <c r="C19" s="1574">
        <v>30</v>
      </c>
      <c r="D19" s="1576">
        <f t="shared" si="8"/>
        <v>185</v>
      </c>
      <c r="E19" s="1576">
        <f t="shared" si="11"/>
        <v>365</v>
      </c>
      <c r="F19" s="1577">
        <f t="shared" si="4"/>
        <v>0.50684931506849318</v>
      </c>
      <c r="G19" s="1576"/>
      <c r="H19" s="1574">
        <f t="shared" si="9"/>
        <v>0</v>
      </c>
      <c r="I19" s="1574">
        <f t="shared" si="5"/>
        <v>0</v>
      </c>
      <c r="J19" s="1574">
        <f t="shared" si="1"/>
        <v>0</v>
      </c>
      <c r="K19" s="1576"/>
      <c r="L19" s="1574">
        <f t="shared" si="10"/>
        <v>0</v>
      </c>
      <c r="M19" s="1574">
        <f t="shared" si="12"/>
        <v>0</v>
      </c>
      <c r="N19" s="1574">
        <f t="shared" si="6"/>
        <v>0</v>
      </c>
      <c r="O19" s="1574">
        <f t="shared" si="2"/>
        <v>0</v>
      </c>
      <c r="P19" s="1574">
        <f t="shared" si="7"/>
        <v>0</v>
      </c>
      <c r="Q19" s="1574">
        <f t="shared" si="3"/>
        <v>0</v>
      </c>
      <c r="R19" s="1533"/>
    </row>
    <row r="20" spans="1:18" s="1534" customFormat="1">
      <c r="A20" s="1568">
        <f t="shared" si="0"/>
        <v>12</v>
      </c>
      <c r="B20" s="1575" t="s">
        <v>151</v>
      </c>
      <c r="C20" s="1574">
        <v>31</v>
      </c>
      <c r="D20" s="1576">
        <f t="shared" si="8"/>
        <v>154</v>
      </c>
      <c r="E20" s="1576">
        <f t="shared" si="11"/>
        <v>365</v>
      </c>
      <c r="F20" s="1577">
        <f t="shared" si="4"/>
        <v>0.42191780821917807</v>
      </c>
      <c r="G20" s="1576"/>
      <c r="H20" s="1574">
        <f t="shared" si="9"/>
        <v>0</v>
      </c>
      <c r="I20" s="1574">
        <f t="shared" si="5"/>
        <v>0</v>
      </c>
      <c r="J20" s="1574">
        <f t="shared" si="1"/>
        <v>0</v>
      </c>
      <c r="K20" s="1576"/>
      <c r="L20" s="1574">
        <f t="shared" si="10"/>
        <v>0</v>
      </c>
      <c r="M20" s="1574">
        <f t="shared" si="12"/>
        <v>0</v>
      </c>
      <c r="N20" s="1574">
        <f t="shared" si="6"/>
        <v>0</v>
      </c>
      <c r="O20" s="1574">
        <f t="shared" si="2"/>
        <v>0</v>
      </c>
      <c r="P20" s="1574">
        <f t="shared" si="7"/>
        <v>0</v>
      </c>
      <c r="Q20" s="1574">
        <f>Q19+N20+(O20+P20)*0.5</f>
        <v>0</v>
      </c>
      <c r="R20" s="1533"/>
    </row>
    <row r="21" spans="1:18" s="1534" customFormat="1">
      <c r="A21" s="1568">
        <f t="shared" si="0"/>
        <v>13</v>
      </c>
      <c r="B21" s="1575" t="s">
        <v>150</v>
      </c>
      <c r="C21" s="1574">
        <v>31</v>
      </c>
      <c r="D21" s="1576">
        <f t="shared" si="8"/>
        <v>123</v>
      </c>
      <c r="E21" s="1576">
        <f t="shared" si="11"/>
        <v>365</v>
      </c>
      <c r="F21" s="1577">
        <f t="shared" si="4"/>
        <v>0.33698630136986302</v>
      </c>
      <c r="G21" s="1576"/>
      <c r="H21" s="1574">
        <f t="shared" si="9"/>
        <v>0</v>
      </c>
      <c r="I21" s="1574">
        <f t="shared" si="5"/>
        <v>0</v>
      </c>
      <c r="J21" s="1574">
        <f t="shared" si="1"/>
        <v>0</v>
      </c>
      <c r="K21" s="1576"/>
      <c r="L21" s="1574">
        <f t="shared" si="10"/>
        <v>0</v>
      </c>
      <c r="M21" s="1574">
        <f t="shared" si="12"/>
        <v>0</v>
      </c>
      <c r="N21" s="1574">
        <f t="shared" si="6"/>
        <v>0</v>
      </c>
      <c r="O21" s="1574">
        <f t="shared" si="2"/>
        <v>0</v>
      </c>
      <c r="P21" s="1574">
        <f t="shared" si="7"/>
        <v>0</v>
      </c>
      <c r="Q21" s="1574">
        <f t="shared" si="3"/>
        <v>0</v>
      </c>
      <c r="R21" s="1533"/>
    </row>
    <row r="22" spans="1:18" s="1534" customFormat="1">
      <c r="A22" s="1568">
        <f t="shared" si="0"/>
        <v>14</v>
      </c>
      <c r="B22" s="1575" t="s">
        <v>149</v>
      </c>
      <c r="C22" s="1574">
        <v>30</v>
      </c>
      <c r="D22" s="1576">
        <f t="shared" si="8"/>
        <v>93</v>
      </c>
      <c r="E22" s="1576">
        <f t="shared" si="11"/>
        <v>365</v>
      </c>
      <c r="F22" s="1577">
        <f t="shared" si="4"/>
        <v>0.25479452054794521</v>
      </c>
      <c r="G22" s="1576"/>
      <c r="H22" s="1574">
        <f t="shared" si="9"/>
        <v>0</v>
      </c>
      <c r="I22" s="1574">
        <f t="shared" si="5"/>
        <v>0</v>
      </c>
      <c r="J22" s="1574">
        <f t="shared" si="1"/>
        <v>0</v>
      </c>
      <c r="K22" s="1576"/>
      <c r="L22" s="1574">
        <f t="shared" si="10"/>
        <v>0</v>
      </c>
      <c r="M22" s="1574">
        <f t="shared" si="12"/>
        <v>0</v>
      </c>
      <c r="N22" s="1574">
        <f t="shared" si="6"/>
        <v>0</v>
      </c>
      <c r="O22" s="1574">
        <f t="shared" si="2"/>
        <v>0</v>
      </c>
      <c r="P22" s="1574">
        <f t="shared" si="7"/>
        <v>0</v>
      </c>
      <c r="Q22" s="1574">
        <f t="shared" si="3"/>
        <v>0</v>
      </c>
      <c r="R22" s="1533"/>
    </row>
    <row r="23" spans="1:18" s="1534" customFormat="1">
      <c r="A23" s="1568">
        <f t="shared" si="0"/>
        <v>15</v>
      </c>
      <c r="B23" s="1575" t="s">
        <v>160</v>
      </c>
      <c r="C23" s="1574">
        <v>31</v>
      </c>
      <c r="D23" s="1576">
        <f>D24+C24</f>
        <v>62</v>
      </c>
      <c r="E23" s="1576">
        <f t="shared" si="11"/>
        <v>365</v>
      </c>
      <c r="F23" s="1577">
        <f t="shared" si="4"/>
        <v>0.16986301369863013</v>
      </c>
      <c r="G23" s="1576"/>
      <c r="H23" s="1574">
        <f t="shared" si="9"/>
        <v>0</v>
      </c>
      <c r="I23" s="1574">
        <f t="shared" si="5"/>
        <v>0</v>
      </c>
      <c r="J23" s="1574">
        <f t="shared" si="1"/>
        <v>0</v>
      </c>
      <c r="K23" s="1576"/>
      <c r="L23" s="1574">
        <f t="shared" si="10"/>
        <v>0</v>
      </c>
      <c r="M23" s="1574">
        <f t="shared" si="12"/>
        <v>0</v>
      </c>
      <c r="N23" s="1574">
        <f t="shared" si="6"/>
        <v>0</v>
      </c>
      <c r="O23" s="1574">
        <f t="shared" si="2"/>
        <v>0</v>
      </c>
      <c r="P23" s="1574">
        <f t="shared" si="7"/>
        <v>0</v>
      </c>
      <c r="Q23" s="1574">
        <f t="shared" si="3"/>
        <v>0</v>
      </c>
      <c r="R23" s="1533"/>
    </row>
    <row r="24" spans="1:18" s="1534" customFormat="1">
      <c r="A24" s="1568">
        <f t="shared" si="0"/>
        <v>16</v>
      </c>
      <c r="B24" s="1575" t="s">
        <v>147</v>
      </c>
      <c r="C24" s="1574">
        <v>30</v>
      </c>
      <c r="D24" s="1576">
        <f>D25+C25</f>
        <v>32</v>
      </c>
      <c r="E24" s="1576">
        <f t="shared" si="11"/>
        <v>365</v>
      </c>
      <c r="F24" s="1577">
        <f t="shared" si="4"/>
        <v>8.7671232876712329E-2</v>
      </c>
      <c r="G24" s="1576"/>
      <c r="H24" s="1574">
        <f t="shared" si="9"/>
        <v>0</v>
      </c>
      <c r="I24" s="1574">
        <f t="shared" si="5"/>
        <v>0</v>
      </c>
      <c r="J24" s="1574">
        <f t="shared" si="1"/>
        <v>0</v>
      </c>
      <c r="K24" s="1576"/>
      <c r="L24" s="1574">
        <f t="shared" si="10"/>
        <v>0</v>
      </c>
      <c r="M24" s="1574">
        <f>L24-H24</f>
        <v>0</v>
      </c>
      <c r="N24" s="1574">
        <f t="shared" si="6"/>
        <v>0</v>
      </c>
      <c r="O24" s="1574">
        <f t="shared" si="2"/>
        <v>0</v>
      </c>
      <c r="P24" s="1574">
        <f t="shared" si="7"/>
        <v>0</v>
      </c>
      <c r="Q24" s="1574">
        <f t="shared" si="3"/>
        <v>0</v>
      </c>
      <c r="R24" s="1533"/>
    </row>
    <row r="25" spans="1:18" s="1534" customFormat="1">
      <c r="A25" s="1568">
        <f t="shared" si="0"/>
        <v>17</v>
      </c>
      <c r="B25" s="1575" t="s">
        <v>145</v>
      </c>
      <c r="C25" s="1574">
        <v>31</v>
      </c>
      <c r="D25" s="1576">
        <v>1</v>
      </c>
      <c r="E25" s="1576">
        <f t="shared" si="11"/>
        <v>365</v>
      </c>
      <c r="F25" s="1577">
        <f t="shared" si="4"/>
        <v>2.7397260273972603E-3</v>
      </c>
      <c r="G25" s="1576"/>
      <c r="H25" s="1574">
        <f t="shared" si="9"/>
        <v>0</v>
      </c>
      <c r="I25" s="1574">
        <f t="shared" si="5"/>
        <v>0</v>
      </c>
      <c r="J25" s="1574">
        <f t="shared" si="1"/>
        <v>0</v>
      </c>
      <c r="K25" s="1576"/>
      <c r="L25" s="1580">
        <f t="shared" si="10"/>
        <v>0</v>
      </c>
      <c r="M25" s="1574">
        <f>L25-H25</f>
        <v>0</v>
      </c>
      <c r="N25" s="1574">
        <f t="shared" si="6"/>
        <v>0</v>
      </c>
      <c r="O25" s="1574">
        <f t="shared" si="2"/>
        <v>0</v>
      </c>
      <c r="P25" s="1574">
        <f t="shared" si="7"/>
        <v>0</v>
      </c>
      <c r="Q25" s="1574">
        <f t="shared" si="3"/>
        <v>0</v>
      </c>
      <c r="R25" s="1533"/>
    </row>
    <row r="26" spans="1:18" s="1534" customFormat="1" ht="28.5" customHeight="1">
      <c r="A26" s="1568">
        <f t="shared" si="0"/>
        <v>18</v>
      </c>
      <c r="B26" s="1581" t="s">
        <v>1172</v>
      </c>
      <c r="C26" s="1582">
        <f>SUM(C14:C25)</f>
        <v>365</v>
      </c>
      <c r="D26" s="1581"/>
      <c r="E26" s="1581"/>
      <c r="F26" s="1583"/>
      <c r="G26" s="1576"/>
      <c r="H26" s="1584">
        <f>SUM(H14:H25)</f>
        <v>0</v>
      </c>
      <c r="I26" s="1584">
        <f>SUM(I14:I25)</f>
        <v>0</v>
      </c>
      <c r="J26" s="1583"/>
      <c r="K26" s="1585"/>
      <c r="L26" s="1586">
        <f>SUM(L14:L25)</f>
        <v>0</v>
      </c>
      <c r="M26" s="1586">
        <f>SUM(M14:M25)</f>
        <v>0</v>
      </c>
      <c r="N26" s="1586">
        <f>SUM(N14:N25)</f>
        <v>0</v>
      </c>
      <c r="O26" s="1586">
        <f>SUM(O14:O25)</f>
        <v>0</v>
      </c>
      <c r="P26" s="1586">
        <f>SUM(P14:P25)</f>
        <v>0</v>
      </c>
      <c r="Q26" s="1586"/>
      <c r="R26" s="1533"/>
    </row>
    <row r="27" spans="1:18" s="1534" customFormat="1">
      <c r="A27" s="1532"/>
      <c r="B27" s="1533"/>
      <c r="C27" s="1533"/>
      <c r="D27" s="1533"/>
      <c r="E27" s="1533"/>
      <c r="F27" s="1533"/>
      <c r="G27" s="1533"/>
      <c r="H27" s="1533"/>
      <c r="I27" s="1533"/>
      <c r="J27" s="1533"/>
      <c r="K27" s="1533"/>
      <c r="L27" s="1533"/>
      <c r="M27" s="1533"/>
      <c r="N27" s="1533"/>
      <c r="O27" s="1533"/>
      <c r="P27" s="1533"/>
      <c r="Q27" s="1533"/>
      <c r="R27" s="1533"/>
    </row>
    <row r="28" spans="1:18" s="1534" customFormat="1">
      <c r="A28" s="1568">
        <v>19</v>
      </c>
      <c r="B28" s="882" t="s">
        <v>1132</v>
      </c>
      <c r="C28" s="882"/>
      <c r="D28" s="882"/>
      <c r="E28" s="1518" t="s">
        <v>1179</v>
      </c>
      <c r="F28" s="1599"/>
      <c r="G28" s="1518"/>
      <c r="H28" s="1518"/>
      <c r="I28" s="1571"/>
      <c r="J28" s="1600">
        <v>0</v>
      </c>
      <c r="K28" s="1533"/>
      <c r="L28" s="882" t="s">
        <v>1132</v>
      </c>
      <c r="M28" s="882"/>
      <c r="N28" s="882"/>
      <c r="O28" s="882" t="s">
        <v>1133</v>
      </c>
      <c r="P28" s="1587"/>
      <c r="Q28" s="1574">
        <f>'6a- ADIT'!D11+'6a- ADIT'!E11</f>
        <v>0</v>
      </c>
      <c r="R28" s="1533"/>
    </row>
    <row r="29" spans="1:18" s="1534" customFormat="1">
      <c r="A29" s="1568">
        <v>20</v>
      </c>
      <c r="B29" s="882" t="s">
        <v>1134</v>
      </c>
      <c r="C29" s="882"/>
      <c r="D29" s="882"/>
      <c r="E29" s="1518" t="s">
        <v>1179</v>
      </c>
      <c r="F29" s="1599"/>
      <c r="G29" s="1518"/>
      <c r="H29" s="1518"/>
      <c r="I29" s="1571"/>
      <c r="J29" s="1600">
        <v>0</v>
      </c>
      <c r="K29" s="1533"/>
      <c r="L29" s="882" t="s">
        <v>1134</v>
      </c>
      <c r="M29" s="882"/>
      <c r="N29" s="882"/>
      <c r="O29" s="882" t="s">
        <v>1135</v>
      </c>
      <c r="P29" s="1587"/>
      <c r="Q29" s="1574">
        <f>+'6c-EDIT'!D18</f>
        <v>0</v>
      </c>
      <c r="R29" s="1533"/>
    </row>
    <row r="30" spans="1:18" s="1534" customFormat="1">
      <c r="A30" s="1568">
        <v>21</v>
      </c>
      <c r="B30" s="882" t="s">
        <v>1136</v>
      </c>
      <c r="C30" s="882"/>
      <c r="D30" s="882"/>
      <c r="E30" s="1518" t="s">
        <v>1179</v>
      </c>
      <c r="F30" s="1599"/>
      <c r="G30" s="1518"/>
      <c r="H30" s="1518"/>
      <c r="I30" s="1571"/>
      <c r="J30" s="1537">
        <f>+J28+J29</f>
        <v>0</v>
      </c>
      <c r="K30" s="1535"/>
      <c r="L30" s="882" t="s">
        <v>1136</v>
      </c>
      <c r="M30" s="882"/>
      <c r="N30" s="882"/>
      <c r="O30" s="882"/>
      <c r="P30" s="1588"/>
      <c r="Q30" s="1584">
        <f>+Q28+Q29</f>
        <v>0</v>
      </c>
      <c r="R30" s="1533"/>
    </row>
    <row r="31" spans="1:18" s="1534" customFormat="1">
      <c r="A31" s="1568">
        <v>22</v>
      </c>
      <c r="B31" s="882" t="s">
        <v>1137</v>
      </c>
      <c r="C31" s="882"/>
      <c r="D31" s="882"/>
      <c r="E31" s="1518" t="s">
        <v>1179</v>
      </c>
      <c r="F31" s="1599"/>
      <c r="G31" s="1518"/>
      <c r="H31" s="1518"/>
      <c r="I31" s="1571"/>
      <c r="J31" s="1600">
        <v>0</v>
      </c>
      <c r="K31" s="1533"/>
      <c r="L31" s="882" t="s">
        <v>1137</v>
      </c>
      <c r="M31" s="882"/>
      <c r="N31" s="882"/>
      <c r="O31" s="882" t="s">
        <v>1138</v>
      </c>
      <c r="P31" s="1587"/>
      <c r="Q31" s="1574">
        <f>+'6b- ADIT'!D11+'6b- ADIT'!E11</f>
        <v>0</v>
      </c>
      <c r="R31" s="1533"/>
    </row>
    <row r="32" spans="1:18" s="1534" customFormat="1">
      <c r="A32" s="1568">
        <v>23</v>
      </c>
      <c r="B32" s="882" t="s">
        <v>1139</v>
      </c>
      <c r="C32" s="882"/>
      <c r="D32" s="882"/>
      <c r="E32" s="1518" t="s">
        <v>1179</v>
      </c>
      <c r="F32" s="1599"/>
      <c r="G32" s="1518"/>
      <c r="H32" s="1518"/>
      <c r="I32" s="1571"/>
      <c r="J32" s="1600">
        <v>0</v>
      </c>
      <c r="K32" s="1533"/>
      <c r="L32" s="882" t="s">
        <v>1139</v>
      </c>
      <c r="M32" s="882"/>
      <c r="N32" s="882"/>
      <c r="O32" s="882" t="s">
        <v>1135</v>
      </c>
      <c r="P32" s="1587"/>
      <c r="Q32" s="1574">
        <f>+'6c-EDIT'!I18</f>
        <v>0</v>
      </c>
      <c r="R32" s="1533"/>
    </row>
    <row r="33" spans="1:18" s="1534" customFormat="1">
      <c r="A33" s="1568">
        <v>24</v>
      </c>
      <c r="B33" s="882" t="s">
        <v>1140</v>
      </c>
      <c r="C33" s="882"/>
      <c r="D33" s="882"/>
      <c r="E33" s="1518" t="s">
        <v>1179</v>
      </c>
      <c r="F33" s="1599"/>
      <c r="G33" s="1518"/>
      <c r="H33" s="1518"/>
      <c r="I33" s="1571"/>
      <c r="J33" s="1537">
        <f>+J31+J32</f>
        <v>0</v>
      </c>
      <c r="K33" s="1533"/>
      <c r="L33" s="882" t="s">
        <v>1140</v>
      </c>
      <c r="M33" s="882"/>
      <c r="N33" s="882"/>
      <c r="O33" s="882"/>
      <c r="P33" s="1587"/>
      <c r="Q33" s="1584">
        <f>+Q31+Q32</f>
        <v>0</v>
      </c>
      <c r="R33" s="1533"/>
    </row>
    <row r="34" spans="1:18" s="1534" customFormat="1">
      <c r="A34" s="1568">
        <v>25</v>
      </c>
      <c r="B34" s="882"/>
      <c r="C34" s="882"/>
      <c r="D34" s="882"/>
      <c r="E34" s="882"/>
      <c r="F34" s="1524"/>
      <c r="G34" s="1524"/>
      <c r="H34" s="1524"/>
      <c r="I34" s="1524"/>
      <c r="J34" s="1536"/>
      <c r="K34" s="1533"/>
      <c r="L34" s="882"/>
      <c r="M34" s="882"/>
      <c r="N34" s="882"/>
      <c r="O34" s="882"/>
      <c r="P34" s="1587"/>
      <c r="Q34" s="1574"/>
      <c r="R34" s="1533"/>
    </row>
    <row r="35" spans="1:18" s="1534" customFormat="1">
      <c r="A35" s="1568">
        <v>26</v>
      </c>
      <c r="B35" s="882" t="s">
        <v>1037</v>
      </c>
      <c r="C35" s="882"/>
      <c r="D35" s="882"/>
      <c r="E35" s="882"/>
      <c r="F35" s="1524"/>
      <c r="G35" s="1524"/>
      <c r="H35" s="1524"/>
      <c r="I35" s="1524"/>
      <c r="J35" s="1536"/>
      <c r="K35" s="1533"/>
      <c r="L35" s="882" t="s">
        <v>1037</v>
      </c>
      <c r="M35" s="882"/>
      <c r="N35" s="882"/>
      <c r="O35" s="882"/>
      <c r="P35" s="1587"/>
      <c r="Q35" s="1574"/>
      <c r="R35" s="1533"/>
    </row>
    <row r="36" spans="1:18" s="1534" customFormat="1">
      <c r="A36" s="1568">
        <v>27</v>
      </c>
      <c r="B36" s="882" t="s">
        <v>1141</v>
      </c>
      <c r="C36" s="882"/>
      <c r="D36" s="882"/>
      <c r="E36" s="882"/>
      <c r="F36" s="882" t="s">
        <v>1142</v>
      </c>
      <c r="G36" s="882"/>
      <c r="H36" s="882"/>
      <c r="I36" s="882"/>
      <c r="J36" s="1574">
        <f>+J25</f>
        <v>0</v>
      </c>
      <c r="K36" s="1533"/>
      <c r="L36" s="882" t="s">
        <v>1141</v>
      </c>
      <c r="M36" s="882"/>
      <c r="N36" s="882"/>
      <c r="O36" s="882" t="s">
        <v>1142</v>
      </c>
      <c r="P36" s="1587"/>
      <c r="Q36" s="1574">
        <f>+Q25</f>
        <v>0</v>
      </c>
      <c r="R36" s="1533"/>
    </row>
    <row r="37" spans="1:18" s="1534" customFormat="1">
      <c r="A37" s="1532"/>
      <c r="B37" s="1533"/>
      <c r="C37" s="1533"/>
      <c r="D37" s="1533"/>
      <c r="E37" s="1533"/>
      <c r="F37" s="1533"/>
      <c r="G37" s="1533"/>
      <c r="H37" s="1533"/>
      <c r="I37" s="1533"/>
      <c r="J37" s="1533"/>
      <c r="K37" s="1533"/>
      <c r="L37" s="1533"/>
      <c r="M37" s="1533"/>
      <c r="N37" s="1533"/>
      <c r="O37" s="1533"/>
      <c r="P37" s="1533"/>
      <c r="Q37" s="1533"/>
      <c r="R37" s="1533"/>
    </row>
    <row r="38" spans="1:18" s="1534" customFormat="1">
      <c r="A38" s="1532"/>
      <c r="B38" s="1533"/>
      <c r="C38" s="1533"/>
      <c r="D38" s="1533"/>
      <c r="E38" s="1533"/>
      <c r="F38" s="1533"/>
      <c r="G38" s="1533"/>
      <c r="H38" s="1533"/>
      <c r="I38" s="1533"/>
      <c r="J38" s="1533"/>
      <c r="K38" s="1533"/>
      <c r="L38" s="1533"/>
      <c r="M38" s="1533"/>
      <c r="N38" s="1533"/>
      <c r="O38" s="1533"/>
      <c r="P38" s="1533"/>
      <c r="Q38" s="1538"/>
      <c r="R38" s="1533"/>
    </row>
    <row r="39" spans="1:18" s="1534" customFormat="1">
      <c r="A39" s="1568">
        <f>+A36+1</f>
        <v>28</v>
      </c>
      <c r="B39" s="1589" t="s">
        <v>1143</v>
      </c>
      <c r="C39" s="882"/>
      <c r="D39" s="882"/>
      <c r="E39" s="882"/>
      <c r="F39" s="882"/>
      <c r="G39" s="882"/>
      <c r="H39" s="882"/>
      <c r="I39" s="882"/>
      <c r="J39" s="882"/>
      <c r="K39" s="882"/>
      <c r="L39" s="1589" t="s">
        <v>1143</v>
      </c>
      <c r="M39" s="882"/>
      <c r="N39" s="882"/>
      <c r="O39" s="882"/>
      <c r="P39" s="882"/>
      <c r="Q39" s="1571"/>
      <c r="R39" s="1533"/>
    </row>
    <row r="40" spans="1:18" s="1534" customFormat="1">
      <c r="A40" s="1568">
        <f t="shared" ref="A40" si="13">+A39+1</f>
        <v>29</v>
      </c>
      <c r="B40" s="1736" t="s">
        <v>1113</v>
      </c>
      <c r="C40" s="1737"/>
      <c r="D40" s="1737"/>
      <c r="E40" s="1737"/>
      <c r="F40" s="1738"/>
      <c r="G40" s="1590"/>
      <c r="H40" s="1739" t="s">
        <v>1114</v>
      </c>
      <c r="I40" s="1740"/>
      <c r="J40" s="1741"/>
      <c r="K40" s="1591"/>
      <c r="L40" s="1739" t="s">
        <v>1115</v>
      </c>
      <c r="M40" s="1740"/>
      <c r="N40" s="1740"/>
      <c r="O40" s="1740"/>
      <c r="P40" s="1740"/>
      <c r="Q40" s="1740"/>
      <c r="R40" s="1533"/>
    </row>
    <row r="41" spans="1:18" s="1534" customFormat="1">
      <c r="A41" s="1568"/>
      <c r="B41" s="1592" t="s">
        <v>459</v>
      </c>
      <c r="C41" s="1592" t="s">
        <v>591</v>
      </c>
      <c r="D41" s="1592" t="s">
        <v>1116</v>
      </c>
      <c r="E41" s="1592" t="s">
        <v>589</v>
      </c>
      <c r="F41" s="1592" t="s">
        <v>588</v>
      </c>
      <c r="G41" s="1590"/>
      <c r="H41" s="1592" t="s">
        <v>587</v>
      </c>
      <c r="I41" s="1592" t="s">
        <v>586</v>
      </c>
      <c r="J41" s="1592" t="s">
        <v>585</v>
      </c>
      <c r="K41" s="1593"/>
      <c r="L41" s="1592" t="s">
        <v>848</v>
      </c>
      <c r="M41" s="1592" t="s">
        <v>849</v>
      </c>
      <c r="N41" s="1592" t="s">
        <v>850</v>
      </c>
      <c r="O41" s="1592" t="s">
        <v>851</v>
      </c>
      <c r="P41" s="1592" t="s">
        <v>852</v>
      </c>
      <c r="Q41" s="1592" t="s">
        <v>853</v>
      </c>
      <c r="R41" s="1533"/>
    </row>
    <row r="42" spans="1:18" s="1534" customFormat="1" ht="102">
      <c r="A42" s="1568">
        <f>+A40+1</f>
        <v>30</v>
      </c>
      <c r="B42" s="1569" t="s">
        <v>1117</v>
      </c>
      <c r="C42" s="1569" t="s">
        <v>1118</v>
      </c>
      <c r="D42" s="1569" t="s">
        <v>1119</v>
      </c>
      <c r="E42" s="1569" t="s">
        <v>1144</v>
      </c>
      <c r="F42" s="1569" t="s">
        <v>1145</v>
      </c>
      <c r="G42" s="1570"/>
      <c r="H42" s="1569" t="s">
        <v>1146</v>
      </c>
      <c r="I42" s="1569" t="s">
        <v>1147</v>
      </c>
      <c r="J42" s="1569" t="s">
        <v>1148</v>
      </c>
      <c r="K42" s="1570"/>
      <c r="L42" s="1569" t="s">
        <v>1149</v>
      </c>
      <c r="M42" s="1569" t="s">
        <v>1126</v>
      </c>
      <c r="N42" s="1569" t="s">
        <v>1127</v>
      </c>
      <c r="O42" s="1569" t="s">
        <v>1128</v>
      </c>
      <c r="P42" s="1569" t="s">
        <v>1129</v>
      </c>
      <c r="Q42" s="1569" t="s">
        <v>1130</v>
      </c>
      <c r="R42" s="1533"/>
    </row>
    <row r="43" spans="1:18" s="1534" customFormat="1">
      <c r="A43" s="1568">
        <v>31</v>
      </c>
      <c r="B43" s="1571"/>
      <c r="C43" s="1571"/>
      <c r="D43" s="1571"/>
      <c r="E43" s="1571"/>
      <c r="F43" s="1571"/>
      <c r="G43" s="1571"/>
      <c r="H43" s="1571"/>
      <c r="I43" s="1571"/>
      <c r="J43" s="1571"/>
      <c r="K43" s="1571"/>
      <c r="L43" s="1571"/>
      <c r="M43" s="1571"/>
      <c r="N43" s="1571"/>
      <c r="O43" s="1571"/>
      <c r="P43" s="1571"/>
      <c r="Q43" s="1571"/>
      <c r="R43" s="1533"/>
    </row>
    <row r="44" spans="1:18" s="1534" customFormat="1">
      <c r="A44" s="1568">
        <v>32</v>
      </c>
      <c r="B44" s="882" t="s">
        <v>1131</v>
      </c>
      <c r="C44" s="1572"/>
      <c r="D44" s="1573"/>
      <c r="E44" s="1573"/>
      <c r="F44" s="1573"/>
      <c r="G44" s="1573"/>
      <c r="H44" s="1574">
        <f>+J61</f>
        <v>0</v>
      </c>
      <c r="I44" s="1573"/>
      <c r="J44" s="1574">
        <f>+H44</f>
        <v>0</v>
      </c>
      <c r="K44" s="1573"/>
      <c r="L44" s="1574">
        <f>+Q61</f>
        <v>0</v>
      </c>
      <c r="M44" s="1573"/>
      <c r="N44" s="1573"/>
      <c r="O44" s="1573"/>
      <c r="P44" s="1573"/>
      <c r="Q44" s="1574">
        <f>+L44</f>
        <v>0</v>
      </c>
      <c r="R44" s="1533"/>
    </row>
    <row r="45" spans="1:18" s="1534" customFormat="1">
      <c r="A45" s="1568">
        <f t="shared" ref="A45:A57" si="14">+A44+1</f>
        <v>33</v>
      </c>
      <c r="B45" s="1575" t="s">
        <v>155</v>
      </c>
      <c r="C45" s="1574">
        <f t="shared" ref="C45:C56" si="15">C14</f>
        <v>31</v>
      </c>
      <c r="D45" s="1576">
        <f t="shared" ref="D45:D53" si="16">D46+C46</f>
        <v>335</v>
      </c>
      <c r="E45" s="1576">
        <f>SUM(C45:C56)</f>
        <v>365</v>
      </c>
      <c r="F45" s="1577">
        <f>D45/E45</f>
        <v>0.9178082191780822</v>
      </c>
      <c r="G45" s="1576"/>
      <c r="H45" s="1574">
        <f>(J64-J61)/12</f>
        <v>0</v>
      </c>
      <c r="I45" s="1574">
        <f>+H45*F45</f>
        <v>0</v>
      </c>
      <c r="J45" s="1574">
        <f t="shared" ref="J45:J56" si="17">+I45+J44</f>
        <v>0</v>
      </c>
      <c r="K45" s="1594"/>
      <c r="L45" s="1574">
        <f>(Q64-Q61)/12</f>
        <v>0</v>
      </c>
      <c r="M45" s="1574">
        <f>L45-H45</f>
        <v>0</v>
      </c>
      <c r="N45" s="1574">
        <f t="shared" ref="N45:N56" si="18">IF(AND(H45&gt;=0,L45&gt;=0),IF(M45&gt;=0,I45,L45/H45*I45),IF(AND(H45&lt;0,L45&lt;0),IF(M45&lt;0,I45,L45/H45*I45),0))</f>
        <v>0</v>
      </c>
      <c r="O45" s="1574">
        <f t="shared" ref="O45:O56" si="19">IF(AND(H45&gt;=0,L45&gt;=0),IF(M45&gt;=0,M45,0),IF(AND(H45&lt;0,L45&lt;0),IF(M45&lt;0,M45,0),0))</f>
        <v>0</v>
      </c>
      <c r="P45" s="1574">
        <f>IF(AND(H45&gt;=0,L45&lt;0),L45,IF(AND(H45&lt;0,L45&gt;=0),L45,0))</f>
        <v>0</v>
      </c>
      <c r="Q45" s="1574">
        <f>Q44+N45+(O45+P45)*0.5</f>
        <v>0</v>
      </c>
      <c r="R45" s="1533"/>
    </row>
    <row r="46" spans="1:18" s="1534" customFormat="1">
      <c r="A46" s="1568">
        <f t="shared" si="14"/>
        <v>34</v>
      </c>
      <c r="B46" s="1575" t="s">
        <v>154</v>
      </c>
      <c r="C46" s="1579">
        <f t="shared" si="15"/>
        <v>28</v>
      </c>
      <c r="D46" s="1576">
        <f t="shared" si="16"/>
        <v>307</v>
      </c>
      <c r="E46" s="1576">
        <f>E45</f>
        <v>365</v>
      </c>
      <c r="F46" s="1577">
        <f t="shared" ref="F46:F56" si="20">D46/E46</f>
        <v>0.84109589041095889</v>
      </c>
      <c r="G46" s="1576"/>
      <c r="H46" s="1574">
        <f>H45</f>
        <v>0</v>
      </c>
      <c r="I46" s="1574">
        <f t="shared" ref="I46:I56" si="21">+H46*F46</f>
        <v>0</v>
      </c>
      <c r="J46" s="1574">
        <f t="shared" si="17"/>
        <v>0</v>
      </c>
      <c r="K46" s="1594"/>
      <c r="L46" s="1574">
        <f>L45</f>
        <v>0</v>
      </c>
      <c r="M46" s="1574">
        <f>L46-H46</f>
        <v>0</v>
      </c>
      <c r="N46" s="1574">
        <f t="shared" si="18"/>
        <v>0</v>
      </c>
      <c r="O46" s="1574">
        <f t="shared" si="19"/>
        <v>0</v>
      </c>
      <c r="P46" s="1574">
        <f t="shared" ref="P46:P56" si="22">IF(AND(H46&gt;=0,L46&lt;0),L46,IF(AND(H46&lt;0,L46&gt;=0),L46,0))</f>
        <v>0</v>
      </c>
      <c r="Q46" s="1574">
        <f>Q45+N46+(O46+P46)*0.5</f>
        <v>0</v>
      </c>
      <c r="R46" s="1533"/>
    </row>
    <row r="47" spans="1:18" s="1534" customFormat="1">
      <c r="A47" s="1568">
        <f t="shared" si="14"/>
        <v>35</v>
      </c>
      <c r="B47" s="1575" t="s">
        <v>153</v>
      </c>
      <c r="C47" s="1574">
        <f t="shared" si="15"/>
        <v>31</v>
      </c>
      <c r="D47" s="1576">
        <f t="shared" si="16"/>
        <v>276</v>
      </c>
      <c r="E47" s="1576">
        <f t="shared" ref="E47:E56" si="23">E46</f>
        <v>365</v>
      </c>
      <c r="F47" s="1577">
        <f t="shared" si="20"/>
        <v>0.75616438356164384</v>
      </c>
      <c r="G47" s="1576"/>
      <c r="H47" s="1574">
        <f t="shared" ref="H47:H56" si="24">H46</f>
        <v>0</v>
      </c>
      <c r="I47" s="1574">
        <f t="shared" si="21"/>
        <v>0</v>
      </c>
      <c r="J47" s="1574">
        <f t="shared" si="17"/>
        <v>0</v>
      </c>
      <c r="K47" s="1576"/>
      <c r="L47" s="1574">
        <f t="shared" ref="L47:L56" si="25">L46</f>
        <v>0</v>
      </c>
      <c r="M47" s="1574">
        <f t="shared" ref="M47:M56" si="26">L47-H47</f>
        <v>0</v>
      </c>
      <c r="N47" s="1574">
        <f t="shared" si="18"/>
        <v>0</v>
      </c>
      <c r="O47" s="1574">
        <f t="shared" si="19"/>
        <v>0</v>
      </c>
      <c r="P47" s="1574">
        <f t="shared" si="22"/>
        <v>0</v>
      </c>
      <c r="Q47" s="1574">
        <f>Q46+N47+(O47+P47)*0.5</f>
        <v>0</v>
      </c>
      <c r="R47" s="1533"/>
    </row>
    <row r="48" spans="1:18" s="1534" customFormat="1">
      <c r="A48" s="1568">
        <f t="shared" si="14"/>
        <v>36</v>
      </c>
      <c r="B48" s="1575" t="s">
        <v>133</v>
      </c>
      <c r="C48" s="1574">
        <f t="shared" si="15"/>
        <v>30</v>
      </c>
      <c r="D48" s="1576">
        <f t="shared" si="16"/>
        <v>246</v>
      </c>
      <c r="E48" s="1576">
        <f t="shared" si="23"/>
        <v>365</v>
      </c>
      <c r="F48" s="1577">
        <f t="shared" si="20"/>
        <v>0.67397260273972603</v>
      </c>
      <c r="G48" s="1576"/>
      <c r="H48" s="1574">
        <f t="shared" si="24"/>
        <v>0</v>
      </c>
      <c r="I48" s="1574">
        <f t="shared" si="21"/>
        <v>0</v>
      </c>
      <c r="J48" s="1574">
        <f>+I48+J47</f>
        <v>0</v>
      </c>
      <c r="K48" s="1576"/>
      <c r="L48" s="1574">
        <f t="shared" si="25"/>
        <v>0</v>
      </c>
      <c r="M48" s="1574">
        <f t="shared" si="26"/>
        <v>0</v>
      </c>
      <c r="N48" s="1574">
        <f t="shared" si="18"/>
        <v>0</v>
      </c>
      <c r="O48" s="1574">
        <f t="shared" si="19"/>
        <v>0</v>
      </c>
      <c r="P48" s="1574">
        <f t="shared" si="22"/>
        <v>0</v>
      </c>
      <c r="Q48" s="1574">
        <f t="shared" ref="Q48:Q56" si="27">Q47+N48+(O48+P48)*0.5</f>
        <v>0</v>
      </c>
      <c r="R48" s="1533"/>
    </row>
    <row r="49" spans="1:18" s="1534" customFormat="1">
      <c r="A49" s="1568">
        <f t="shared" si="14"/>
        <v>37</v>
      </c>
      <c r="B49" s="1575" t="s">
        <v>130</v>
      </c>
      <c r="C49" s="1574">
        <f t="shared" si="15"/>
        <v>31</v>
      </c>
      <c r="D49" s="1576">
        <f t="shared" si="16"/>
        <v>215</v>
      </c>
      <c r="E49" s="1576">
        <f t="shared" si="23"/>
        <v>365</v>
      </c>
      <c r="F49" s="1577">
        <f t="shared" si="20"/>
        <v>0.58904109589041098</v>
      </c>
      <c r="G49" s="1576"/>
      <c r="H49" s="1574">
        <f t="shared" si="24"/>
        <v>0</v>
      </c>
      <c r="I49" s="1574">
        <f t="shared" si="21"/>
        <v>0</v>
      </c>
      <c r="J49" s="1574">
        <f t="shared" si="17"/>
        <v>0</v>
      </c>
      <c r="K49" s="1576"/>
      <c r="L49" s="1574">
        <f t="shared" si="25"/>
        <v>0</v>
      </c>
      <c r="M49" s="1574">
        <f t="shared" si="26"/>
        <v>0</v>
      </c>
      <c r="N49" s="1574">
        <f t="shared" si="18"/>
        <v>0</v>
      </c>
      <c r="O49" s="1574">
        <f t="shared" si="19"/>
        <v>0</v>
      </c>
      <c r="P49" s="1574">
        <f t="shared" si="22"/>
        <v>0</v>
      </c>
      <c r="Q49" s="1574">
        <f t="shared" si="27"/>
        <v>0</v>
      </c>
      <c r="R49" s="1533"/>
    </row>
    <row r="50" spans="1:18" s="1534" customFormat="1">
      <c r="A50" s="1568">
        <f t="shared" si="14"/>
        <v>38</v>
      </c>
      <c r="B50" s="1575" t="s">
        <v>261</v>
      </c>
      <c r="C50" s="1574">
        <f t="shared" si="15"/>
        <v>30</v>
      </c>
      <c r="D50" s="1576">
        <f t="shared" si="16"/>
        <v>185</v>
      </c>
      <c r="E50" s="1576">
        <f t="shared" si="23"/>
        <v>365</v>
      </c>
      <c r="F50" s="1577">
        <f t="shared" si="20"/>
        <v>0.50684931506849318</v>
      </c>
      <c r="G50" s="1576"/>
      <c r="H50" s="1574">
        <f t="shared" si="24"/>
        <v>0</v>
      </c>
      <c r="I50" s="1574">
        <f t="shared" si="21"/>
        <v>0</v>
      </c>
      <c r="J50" s="1574">
        <f t="shared" si="17"/>
        <v>0</v>
      </c>
      <c r="K50" s="1576"/>
      <c r="L50" s="1574">
        <f t="shared" si="25"/>
        <v>0</v>
      </c>
      <c r="M50" s="1574">
        <f t="shared" si="26"/>
        <v>0</v>
      </c>
      <c r="N50" s="1574">
        <f t="shared" si="18"/>
        <v>0</v>
      </c>
      <c r="O50" s="1574">
        <f t="shared" si="19"/>
        <v>0</v>
      </c>
      <c r="P50" s="1574">
        <f t="shared" si="22"/>
        <v>0</v>
      </c>
      <c r="Q50" s="1574">
        <f t="shared" si="27"/>
        <v>0</v>
      </c>
      <c r="R50" s="1533"/>
    </row>
    <row r="51" spans="1:18" s="1534" customFormat="1">
      <c r="A51" s="1568">
        <f t="shared" si="14"/>
        <v>39</v>
      </c>
      <c r="B51" s="1575" t="s">
        <v>151</v>
      </c>
      <c r="C51" s="1574">
        <f t="shared" si="15"/>
        <v>31</v>
      </c>
      <c r="D51" s="1576">
        <f t="shared" si="16"/>
        <v>154</v>
      </c>
      <c r="E51" s="1576">
        <f t="shared" si="23"/>
        <v>365</v>
      </c>
      <c r="F51" s="1577">
        <f t="shared" si="20"/>
        <v>0.42191780821917807</v>
      </c>
      <c r="G51" s="1576"/>
      <c r="H51" s="1574">
        <f t="shared" si="24"/>
        <v>0</v>
      </c>
      <c r="I51" s="1574">
        <f t="shared" si="21"/>
        <v>0</v>
      </c>
      <c r="J51" s="1574">
        <f t="shared" si="17"/>
        <v>0</v>
      </c>
      <c r="K51" s="1576"/>
      <c r="L51" s="1574">
        <f t="shared" si="25"/>
        <v>0</v>
      </c>
      <c r="M51" s="1574">
        <f t="shared" si="26"/>
        <v>0</v>
      </c>
      <c r="N51" s="1574">
        <f t="shared" si="18"/>
        <v>0</v>
      </c>
      <c r="O51" s="1574">
        <f t="shared" si="19"/>
        <v>0</v>
      </c>
      <c r="P51" s="1574">
        <f t="shared" si="22"/>
        <v>0</v>
      </c>
      <c r="Q51" s="1574">
        <f t="shared" si="27"/>
        <v>0</v>
      </c>
      <c r="R51" s="1533"/>
    </row>
    <row r="52" spans="1:18" s="1534" customFormat="1">
      <c r="A52" s="1568">
        <f t="shared" si="14"/>
        <v>40</v>
      </c>
      <c r="B52" s="1575" t="s">
        <v>150</v>
      </c>
      <c r="C52" s="1574">
        <f t="shared" si="15"/>
        <v>31</v>
      </c>
      <c r="D52" s="1576">
        <f t="shared" si="16"/>
        <v>123</v>
      </c>
      <c r="E52" s="1576">
        <f t="shared" si="23"/>
        <v>365</v>
      </c>
      <c r="F52" s="1577">
        <f t="shared" si="20"/>
        <v>0.33698630136986302</v>
      </c>
      <c r="G52" s="1576"/>
      <c r="H52" s="1574">
        <f t="shared" si="24"/>
        <v>0</v>
      </c>
      <c r="I52" s="1574">
        <f t="shared" si="21"/>
        <v>0</v>
      </c>
      <c r="J52" s="1574">
        <f t="shared" si="17"/>
        <v>0</v>
      </c>
      <c r="K52" s="1576"/>
      <c r="L52" s="1574">
        <f t="shared" si="25"/>
        <v>0</v>
      </c>
      <c r="M52" s="1574">
        <f t="shared" si="26"/>
        <v>0</v>
      </c>
      <c r="N52" s="1574">
        <f t="shared" si="18"/>
        <v>0</v>
      </c>
      <c r="O52" s="1574">
        <f t="shared" si="19"/>
        <v>0</v>
      </c>
      <c r="P52" s="1574">
        <f t="shared" si="22"/>
        <v>0</v>
      </c>
      <c r="Q52" s="1574">
        <f t="shared" si="27"/>
        <v>0</v>
      </c>
      <c r="R52" s="1533"/>
    </row>
    <row r="53" spans="1:18" s="1534" customFormat="1">
      <c r="A53" s="1568">
        <f t="shared" si="14"/>
        <v>41</v>
      </c>
      <c r="B53" s="1575" t="s">
        <v>149</v>
      </c>
      <c r="C53" s="1574">
        <f t="shared" si="15"/>
        <v>30</v>
      </c>
      <c r="D53" s="1576">
        <f t="shared" si="16"/>
        <v>93</v>
      </c>
      <c r="E53" s="1576">
        <f t="shared" si="23"/>
        <v>365</v>
      </c>
      <c r="F53" s="1577">
        <f t="shared" si="20"/>
        <v>0.25479452054794521</v>
      </c>
      <c r="G53" s="1576"/>
      <c r="H53" s="1574">
        <f t="shared" si="24"/>
        <v>0</v>
      </c>
      <c r="I53" s="1574">
        <f t="shared" si="21"/>
        <v>0</v>
      </c>
      <c r="J53" s="1574">
        <f t="shared" si="17"/>
        <v>0</v>
      </c>
      <c r="K53" s="1576"/>
      <c r="L53" s="1574">
        <f t="shared" si="25"/>
        <v>0</v>
      </c>
      <c r="M53" s="1574">
        <f t="shared" si="26"/>
        <v>0</v>
      </c>
      <c r="N53" s="1574">
        <f t="shared" si="18"/>
        <v>0</v>
      </c>
      <c r="O53" s="1574">
        <f t="shared" si="19"/>
        <v>0</v>
      </c>
      <c r="P53" s="1574">
        <f t="shared" si="22"/>
        <v>0</v>
      </c>
      <c r="Q53" s="1574">
        <f t="shared" si="27"/>
        <v>0</v>
      </c>
      <c r="R53" s="1533"/>
    </row>
    <row r="54" spans="1:18" s="1534" customFormat="1">
      <c r="A54" s="1568">
        <f t="shared" si="14"/>
        <v>42</v>
      </c>
      <c r="B54" s="1575" t="s">
        <v>160</v>
      </c>
      <c r="C54" s="1574">
        <f t="shared" si="15"/>
        <v>31</v>
      </c>
      <c r="D54" s="1576">
        <f>D55+C55</f>
        <v>62</v>
      </c>
      <c r="E54" s="1576">
        <f t="shared" si="23"/>
        <v>365</v>
      </c>
      <c r="F54" s="1577">
        <f t="shared" si="20"/>
        <v>0.16986301369863013</v>
      </c>
      <c r="G54" s="1576"/>
      <c r="H54" s="1574">
        <f t="shared" si="24"/>
        <v>0</v>
      </c>
      <c r="I54" s="1574">
        <f t="shared" si="21"/>
        <v>0</v>
      </c>
      <c r="J54" s="1574">
        <f t="shared" si="17"/>
        <v>0</v>
      </c>
      <c r="K54" s="1576"/>
      <c r="L54" s="1574">
        <f t="shared" si="25"/>
        <v>0</v>
      </c>
      <c r="M54" s="1574">
        <f t="shared" si="26"/>
        <v>0</v>
      </c>
      <c r="N54" s="1574">
        <f t="shared" si="18"/>
        <v>0</v>
      </c>
      <c r="O54" s="1574">
        <f t="shared" si="19"/>
        <v>0</v>
      </c>
      <c r="P54" s="1574">
        <f t="shared" si="22"/>
        <v>0</v>
      </c>
      <c r="Q54" s="1574">
        <f t="shared" si="27"/>
        <v>0</v>
      </c>
      <c r="R54" s="1533"/>
    </row>
    <row r="55" spans="1:18" s="1534" customFormat="1">
      <c r="A55" s="1568">
        <f t="shared" si="14"/>
        <v>43</v>
      </c>
      <c r="B55" s="1575" t="s">
        <v>147</v>
      </c>
      <c r="C55" s="1574">
        <f t="shared" si="15"/>
        <v>30</v>
      </c>
      <c r="D55" s="1576">
        <f>D56+C56</f>
        <v>32</v>
      </c>
      <c r="E55" s="1576">
        <f t="shared" si="23"/>
        <v>365</v>
      </c>
      <c r="F55" s="1577">
        <f t="shared" si="20"/>
        <v>8.7671232876712329E-2</v>
      </c>
      <c r="G55" s="1576"/>
      <c r="H55" s="1574">
        <f t="shared" si="24"/>
        <v>0</v>
      </c>
      <c r="I55" s="1574">
        <f t="shared" si="21"/>
        <v>0</v>
      </c>
      <c r="J55" s="1574">
        <f t="shared" si="17"/>
        <v>0</v>
      </c>
      <c r="K55" s="1576"/>
      <c r="L55" s="1574">
        <f t="shared" si="25"/>
        <v>0</v>
      </c>
      <c r="M55" s="1574">
        <f t="shared" si="26"/>
        <v>0</v>
      </c>
      <c r="N55" s="1574">
        <f t="shared" si="18"/>
        <v>0</v>
      </c>
      <c r="O55" s="1574">
        <f t="shared" si="19"/>
        <v>0</v>
      </c>
      <c r="P55" s="1574">
        <f t="shared" si="22"/>
        <v>0</v>
      </c>
      <c r="Q55" s="1574">
        <f t="shared" si="27"/>
        <v>0</v>
      </c>
      <c r="R55" s="1533"/>
    </row>
    <row r="56" spans="1:18" s="1534" customFormat="1">
      <c r="A56" s="1568">
        <f t="shared" si="14"/>
        <v>44</v>
      </c>
      <c r="B56" s="1575" t="s">
        <v>145</v>
      </c>
      <c r="C56" s="1580">
        <f t="shared" si="15"/>
        <v>31</v>
      </c>
      <c r="D56" s="1576">
        <v>1</v>
      </c>
      <c r="E56" s="1576">
        <f t="shared" si="23"/>
        <v>365</v>
      </c>
      <c r="F56" s="1577">
        <f t="shared" si="20"/>
        <v>2.7397260273972603E-3</v>
      </c>
      <c r="G56" s="1576"/>
      <c r="H56" s="1580">
        <f t="shared" si="24"/>
        <v>0</v>
      </c>
      <c r="I56" s="1574">
        <f t="shared" si="21"/>
        <v>0</v>
      </c>
      <c r="J56" s="1574">
        <f t="shared" si="17"/>
        <v>0</v>
      </c>
      <c r="K56" s="1576"/>
      <c r="L56" s="1580">
        <f t="shared" si="25"/>
        <v>0</v>
      </c>
      <c r="M56" s="1574">
        <f t="shared" si="26"/>
        <v>0</v>
      </c>
      <c r="N56" s="1574">
        <f t="shared" si="18"/>
        <v>0</v>
      </c>
      <c r="O56" s="1574">
        <f t="shared" si="19"/>
        <v>0</v>
      </c>
      <c r="P56" s="1574">
        <f t="shared" si="22"/>
        <v>0</v>
      </c>
      <c r="Q56" s="1574">
        <f t="shared" si="27"/>
        <v>0</v>
      </c>
      <c r="R56" s="1533"/>
    </row>
    <row r="57" spans="1:18" s="1534" customFormat="1" ht="24" customHeight="1">
      <c r="A57" s="1568">
        <f t="shared" si="14"/>
        <v>45</v>
      </c>
      <c r="B57" s="1581" t="s">
        <v>1150</v>
      </c>
      <c r="C57" s="1582">
        <f>SUM(C45:C56)</f>
        <v>365</v>
      </c>
      <c r="D57" s="1581"/>
      <c r="E57" s="1581"/>
      <c r="F57" s="1583"/>
      <c r="G57" s="1576"/>
      <c r="H57" s="1584">
        <f>SUM(H45:H56)</f>
        <v>0</v>
      </c>
      <c r="I57" s="1584">
        <f>SUM(I45:I56)</f>
        <v>0</v>
      </c>
      <c r="J57" s="1583"/>
      <c r="K57" s="1585"/>
      <c r="L57" s="1584">
        <f>SUM(L45:L56)</f>
        <v>0</v>
      </c>
      <c r="M57" s="1584">
        <f>SUM(M45:M56)</f>
        <v>0</v>
      </c>
      <c r="N57" s="1584">
        <f>SUM(N45:N56)</f>
        <v>0</v>
      </c>
      <c r="O57" s="1584">
        <f>SUM(O45:O56)</f>
        <v>0</v>
      </c>
      <c r="P57" s="1584">
        <f>SUM(P45:P56)</f>
        <v>0</v>
      </c>
      <c r="Q57" s="1595"/>
      <c r="R57" s="1533"/>
    </row>
    <row r="58" spans="1:18" s="1534" customFormat="1">
      <c r="A58" s="1532"/>
      <c r="B58" s="1533"/>
      <c r="C58" s="1533"/>
      <c r="D58" s="1533"/>
      <c r="E58" s="1533"/>
      <c r="F58" s="1533"/>
      <c r="G58" s="1533"/>
      <c r="H58" s="1533"/>
      <c r="I58" s="1533"/>
      <c r="J58" s="1533"/>
      <c r="K58" s="1533"/>
      <c r="L58" s="1533"/>
      <c r="M58" s="1533"/>
      <c r="N58" s="1533"/>
      <c r="O58" s="1533"/>
      <c r="P58" s="1533"/>
      <c r="Q58" s="1533"/>
      <c r="R58" s="1533"/>
    </row>
    <row r="59" spans="1:18" s="1596" customFormat="1">
      <c r="A59" s="1568">
        <v>46</v>
      </c>
      <c r="B59" s="882" t="s">
        <v>1132</v>
      </c>
      <c r="C59" s="1571"/>
      <c r="D59" s="1571"/>
      <c r="E59" s="1518" t="s">
        <v>1179</v>
      </c>
      <c r="F59" s="1599"/>
      <c r="G59" s="1518"/>
      <c r="H59" s="1518"/>
      <c r="I59" s="1571"/>
      <c r="J59" s="1579"/>
      <c r="K59" s="1571"/>
      <c r="L59" s="882" t="s">
        <v>1132</v>
      </c>
      <c r="M59" s="1571"/>
      <c r="N59" s="1571"/>
      <c r="O59" s="882" t="s">
        <v>1133</v>
      </c>
      <c r="P59" s="1571"/>
      <c r="Q59" s="1574">
        <f>+'6a- ADIT'!D9+'6a- ADIT'!E9</f>
        <v>0</v>
      </c>
      <c r="R59" s="1571"/>
    </row>
    <row r="60" spans="1:18" s="1596" customFormat="1">
      <c r="A60" s="1568">
        <v>47</v>
      </c>
      <c r="B60" s="882" t="s">
        <v>1134</v>
      </c>
      <c r="C60" s="1571"/>
      <c r="D60" s="1571"/>
      <c r="E60" s="1518" t="s">
        <v>1179</v>
      </c>
      <c r="F60" s="1599"/>
      <c r="G60" s="1518"/>
      <c r="H60" s="1518"/>
      <c r="I60" s="1571"/>
      <c r="J60" s="1579">
        <v>0</v>
      </c>
      <c r="K60" s="1571"/>
      <c r="L60" s="882" t="s">
        <v>1134</v>
      </c>
      <c r="M60" s="1571"/>
      <c r="N60" s="1571"/>
      <c r="O60" s="882" t="s">
        <v>1135</v>
      </c>
      <c r="P60" s="1571"/>
      <c r="Q60" s="1574">
        <f>+'6c-EDIT'!D35</f>
        <v>0</v>
      </c>
      <c r="R60" s="1571"/>
    </row>
    <row r="61" spans="1:18" s="1596" customFormat="1">
      <c r="A61" s="1568">
        <v>48</v>
      </c>
      <c r="B61" s="882" t="s">
        <v>1136</v>
      </c>
      <c r="C61" s="1571"/>
      <c r="D61" s="1571"/>
      <c r="E61" s="1518" t="s">
        <v>1179</v>
      </c>
      <c r="F61" s="1599"/>
      <c r="G61" s="1518"/>
      <c r="H61" s="1518"/>
      <c r="I61" s="1571"/>
      <c r="J61" s="1584">
        <f>+J59+J60</f>
        <v>0</v>
      </c>
      <c r="K61" s="1573"/>
      <c r="L61" s="882" t="s">
        <v>1136</v>
      </c>
      <c r="M61" s="1571"/>
      <c r="N61" s="1571"/>
      <c r="O61" s="882"/>
      <c r="P61" s="1573"/>
      <c r="Q61" s="1584">
        <f>+Q59+Q60</f>
        <v>0</v>
      </c>
      <c r="R61" s="1571"/>
    </row>
    <row r="62" spans="1:18" s="1596" customFormat="1">
      <c r="A62" s="1568">
        <v>49</v>
      </c>
      <c r="B62" s="882" t="s">
        <v>1137</v>
      </c>
      <c r="C62" s="1571"/>
      <c r="D62" s="1571"/>
      <c r="E62" s="1518" t="s">
        <v>1179</v>
      </c>
      <c r="F62" s="1599"/>
      <c r="G62" s="1518"/>
      <c r="H62" s="1518"/>
      <c r="I62" s="1571"/>
      <c r="J62" s="1579">
        <v>0</v>
      </c>
      <c r="K62" s="1571"/>
      <c r="L62" s="882" t="s">
        <v>1137</v>
      </c>
      <c r="M62" s="1571"/>
      <c r="N62" s="1571"/>
      <c r="O62" s="882" t="s">
        <v>1138</v>
      </c>
      <c r="P62" s="1571"/>
      <c r="Q62" s="1574">
        <f>+'6b- ADIT'!D9+'6b- ADIT'!E9</f>
        <v>0</v>
      </c>
      <c r="R62" s="1571"/>
    </row>
    <row r="63" spans="1:18" s="1596" customFormat="1">
      <c r="A63" s="1568">
        <v>50</v>
      </c>
      <c r="B63" s="882" t="s">
        <v>1139</v>
      </c>
      <c r="C63" s="1571"/>
      <c r="D63" s="1571"/>
      <c r="E63" s="1518" t="s">
        <v>1179</v>
      </c>
      <c r="F63" s="1599"/>
      <c r="G63" s="1518"/>
      <c r="H63" s="1518"/>
      <c r="I63" s="1571"/>
      <c r="J63" s="1579">
        <v>0</v>
      </c>
      <c r="K63" s="1571"/>
      <c r="L63" s="882" t="s">
        <v>1139</v>
      </c>
      <c r="M63" s="1571"/>
      <c r="N63" s="1571"/>
      <c r="O63" s="882" t="s">
        <v>1135</v>
      </c>
      <c r="P63" s="1571"/>
      <c r="Q63" s="1574">
        <f>+'6c-EDIT'!I35</f>
        <v>0</v>
      </c>
      <c r="R63" s="1571"/>
    </row>
    <row r="64" spans="1:18" s="1596" customFormat="1">
      <c r="A64" s="1568">
        <v>51</v>
      </c>
      <c r="B64" s="882" t="s">
        <v>1140</v>
      </c>
      <c r="C64" s="1571"/>
      <c r="D64" s="1571"/>
      <c r="E64" s="1518" t="s">
        <v>1179</v>
      </c>
      <c r="F64" s="1599"/>
      <c r="G64" s="1518"/>
      <c r="H64" s="1518"/>
      <c r="I64" s="1571"/>
      <c r="J64" s="1584">
        <f>+J62+J63</f>
        <v>0</v>
      </c>
      <c r="K64" s="1571"/>
      <c r="L64" s="882" t="s">
        <v>1140</v>
      </c>
      <c r="M64" s="1571"/>
      <c r="N64" s="1571"/>
      <c r="O64" s="882"/>
      <c r="P64" s="1571"/>
      <c r="Q64" s="1584">
        <f>+Q62+Q63</f>
        <v>0</v>
      </c>
      <c r="R64" s="1571"/>
    </row>
    <row r="65" spans="1:19" s="1596" customFormat="1">
      <c r="A65" s="1568">
        <v>52</v>
      </c>
      <c r="B65" s="1571"/>
      <c r="C65" s="1571"/>
      <c r="D65" s="1571"/>
      <c r="E65" s="1571"/>
      <c r="F65" s="882"/>
      <c r="G65" s="1571"/>
      <c r="H65" s="1571"/>
      <c r="I65" s="1571"/>
      <c r="J65" s="1574"/>
      <c r="K65" s="1571"/>
      <c r="L65" s="1571"/>
      <c r="M65" s="1571"/>
      <c r="N65" s="1571"/>
      <c r="O65" s="1571"/>
      <c r="P65" s="1571"/>
      <c r="Q65" s="1574"/>
      <c r="R65" s="1571"/>
    </row>
    <row r="66" spans="1:19" s="1596" customFormat="1">
      <c r="A66" s="1568">
        <v>53</v>
      </c>
      <c r="B66" s="882" t="s">
        <v>1037</v>
      </c>
      <c r="C66" s="1571"/>
      <c r="D66" s="1571"/>
      <c r="E66" s="1571"/>
      <c r="F66" s="882"/>
      <c r="G66" s="1571"/>
      <c r="H66" s="1571"/>
      <c r="I66" s="1571"/>
      <c r="J66" s="1574"/>
      <c r="K66" s="1571"/>
      <c r="L66" s="882" t="s">
        <v>1037</v>
      </c>
      <c r="M66" s="1571"/>
      <c r="N66" s="1571"/>
      <c r="O66" s="1571"/>
      <c r="P66" s="1571"/>
      <c r="Q66" s="1574"/>
      <c r="R66" s="1571"/>
    </row>
    <row r="67" spans="1:19" s="1596" customFormat="1">
      <c r="A67" s="1568">
        <v>54</v>
      </c>
      <c r="B67" s="882" t="s">
        <v>1151</v>
      </c>
      <c r="C67" s="1571"/>
      <c r="D67" s="1571"/>
      <c r="E67" s="1571"/>
      <c r="F67" s="882" t="s">
        <v>1152</v>
      </c>
      <c r="G67" s="1571"/>
      <c r="H67" s="1571"/>
      <c r="I67" s="1571"/>
      <c r="J67" s="1574">
        <f>+J56</f>
        <v>0</v>
      </c>
      <c r="K67" s="1571"/>
      <c r="L67" s="882" t="s">
        <v>1151</v>
      </c>
      <c r="M67" s="1571"/>
      <c r="N67" s="1571"/>
      <c r="O67" s="882" t="s">
        <v>1152</v>
      </c>
      <c r="P67" s="1571"/>
      <c r="Q67" s="1574">
        <f>+Q56</f>
        <v>0</v>
      </c>
      <c r="R67" s="1571"/>
    </row>
    <row r="68" spans="1:19" s="1596" customFormat="1">
      <c r="A68" s="1568"/>
      <c r="B68" s="1571"/>
      <c r="C68" s="1571"/>
      <c r="D68" s="1571"/>
      <c r="E68" s="1571"/>
      <c r="F68" s="1571"/>
      <c r="G68" s="1571"/>
      <c r="H68" s="1571"/>
      <c r="I68" s="1571"/>
      <c r="J68" s="1571"/>
      <c r="K68" s="1571"/>
      <c r="L68" s="1571"/>
      <c r="M68" s="1571"/>
      <c r="N68" s="1571"/>
      <c r="O68" s="1571"/>
      <c r="P68" s="1571"/>
      <c r="Q68" s="1571"/>
      <c r="R68" s="1571"/>
    </row>
    <row r="69" spans="1:19" s="1596" customFormat="1">
      <c r="A69" s="1568"/>
      <c r="B69" s="1571"/>
      <c r="C69" s="1571"/>
      <c r="D69" s="1571"/>
      <c r="E69" s="1571"/>
      <c r="F69" s="1571"/>
      <c r="G69" s="1571"/>
      <c r="H69" s="1571"/>
      <c r="I69" s="1571"/>
      <c r="J69" s="1571"/>
      <c r="K69" s="1571"/>
      <c r="L69" s="1571"/>
      <c r="M69" s="1571"/>
      <c r="N69" s="1571"/>
      <c r="O69" s="1571"/>
      <c r="P69" s="1571"/>
      <c r="Q69" s="1597" t="s">
        <v>1207</v>
      </c>
      <c r="R69" s="1571"/>
    </row>
    <row r="70" spans="1:19" s="1596" customFormat="1">
      <c r="A70" s="1568">
        <v>55</v>
      </c>
      <c r="B70" s="1589" t="s">
        <v>1153</v>
      </c>
      <c r="C70" s="882"/>
      <c r="D70" s="882"/>
      <c r="E70" s="882"/>
      <c r="F70" s="882"/>
      <c r="G70" s="882"/>
      <c r="H70" s="1591"/>
      <c r="I70" s="1591"/>
      <c r="J70" s="1591"/>
      <c r="K70" s="1591"/>
      <c r="L70" s="1589" t="s">
        <v>1153</v>
      </c>
      <c r="M70" s="882"/>
      <c r="N70" s="882"/>
      <c r="O70" s="882"/>
      <c r="P70" s="882"/>
      <c r="Q70" s="882"/>
      <c r="R70" s="1571"/>
    </row>
    <row r="71" spans="1:19" s="1596" customFormat="1">
      <c r="A71" s="1568">
        <f>+A70+1</f>
        <v>56</v>
      </c>
      <c r="B71" s="1736" t="s">
        <v>1113</v>
      </c>
      <c r="C71" s="1737"/>
      <c r="D71" s="1737"/>
      <c r="E71" s="1737"/>
      <c r="F71" s="1738"/>
      <c r="G71" s="1590"/>
      <c r="H71" s="1739" t="s">
        <v>1114</v>
      </c>
      <c r="I71" s="1740"/>
      <c r="J71" s="1741"/>
      <c r="K71" s="1591"/>
      <c r="L71" s="1739" t="s">
        <v>1115</v>
      </c>
      <c r="M71" s="1740"/>
      <c r="N71" s="1740"/>
      <c r="O71" s="1740"/>
      <c r="P71" s="1740"/>
      <c r="Q71" s="1740"/>
      <c r="R71" s="1571"/>
    </row>
    <row r="72" spans="1:19" s="1596" customFormat="1">
      <c r="A72" s="1568"/>
      <c r="B72" s="1592" t="s">
        <v>459</v>
      </c>
      <c r="C72" s="1592" t="s">
        <v>591</v>
      </c>
      <c r="D72" s="1592" t="s">
        <v>1116</v>
      </c>
      <c r="E72" s="1592" t="s">
        <v>589</v>
      </c>
      <c r="F72" s="1592" t="s">
        <v>588</v>
      </c>
      <c r="G72" s="1590"/>
      <c r="H72" s="1592" t="s">
        <v>587</v>
      </c>
      <c r="I72" s="1592" t="s">
        <v>586</v>
      </c>
      <c r="J72" s="1592" t="s">
        <v>585</v>
      </c>
      <c r="K72" s="1593"/>
      <c r="L72" s="1592" t="s">
        <v>848</v>
      </c>
      <c r="M72" s="1592" t="s">
        <v>849</v>
      </c>
      <c r="N72" s="1592" t="s">
        <v>850</v>
      </c>
      <c r="O72" s="1592" t="s">
        <v>851</v>
      </c>
      <c r="P72" s="1592" t="s">
        <v>852</v>
      </c>
      <c r="Q72" s="1592" t="s">
        <v>853</v>
      </c>
      <c r="R72" s="1571"/>
    </row>
    <row r="73" spans="1:19" s="1596" customFormat="1" ht="102">
      <c r="A73" s="1568">
        <f>+A71+1</f>
        <v>57</v>
      </c>
      <c r="B73" s="1569" t="s">
        <v>1117</v>
      </c>
      <c r="C73" s="1569" t="s">
        <v>1118</v>
      </c>
      <c r="D73" s="1569" t="s">
        <v>1119</v>
      </c>
      <c r="E73" s="1569" t="s">
        <v>1154</v>
      </c>
      <c r="F73" s="1569" t="s">
        <v>1155</v>
      </c>
      <c r="G73" s="1570"/>
      <c r="H73" s="1569" t="s">
        <v>1122</v>
      </c>
      <c r="I73" s="1569" t="s">
        <v>1156</v>
      </c>
      <c r="J73" s="1569" t="s">
        <v>1157</v>
      </c>
      <c r="K73" s="1570"/>
      <c r="L73" s="1569" t="s">
        <v>1158</v>
      </c>
      <c r="M73" s="1569" t="s">
        <v>1126</v>
      </c>
      <c r="N73" s="1569" t="s">
        <v>1127</v>
      </c>
      <c r="O73" s="1569" t="s">
        <v>1128</v>
      </c>
      <c r="P73" s="1569" t="s">
        <v>1129</v>
      </c>
      <c r="Q73" s="1569" t="s">
        <v>1130</v>
      </c>
      <c r="R73" s="1571"/>
    </row>
    <row r="74" spans="1:19" s="1596" customFormat="1">
      <c r="A74" s="1568">
        <v>58</v>
      </c>
      <c r="B74" s="1571"/>
      <c r="C74" s="1571"/>
      <c r="D74" s="1571"/>
      <c r="E74" s="1571"/>
      <c r="F74" s="1571"/>
      <c r="G74" s="1571"/>
      <c r="H74" s="1571"/>
      <c r="I74" s="1571"/>
      <c r="J74" s="1571"/>
      <c r="K74" s="1571"/>
      <c r="L74" s="1571"/>
      <c r="M74" s="1571"/>
      <c r="N74" s="1571"/>
      <c r="O74" s="1571"/>
      <c r="P74" s="1571"/>
      <c r="Q74" s="1571"/>
      <c r="R74" s="1571"/>
    </row>
    <row r="75" spans="1:19" s="1596" customFormat="1">
      <c r="A75" s="1568">
        <v>59</v>
      </c>
      <c r="B75" s="882" t="s">
        <v>1131</v>
      </c>
      <c r="C75" s="1572"/>
      <c r="D75" s="1573"/>
      <c r="E75" s="1573"/>
      <c r="F75" s="1573"/>
      <c r="G75" s="1573"/>
      <c r="H75" s="1574">
        <f>+J92</f>
        <v>0</v>
      </c>
      <c r="I75" s="1573"/>
      <c r="J75" s="1574">
        <f>+H75</f>
        <v>0</v>
      </c>
      <c r="K75" s="1573"/>
      <c r="L75" s="1574">
        <f>+Q92</f>
        <v>-2441685</v>
      </c>
      <c r="M75" s="1573"/>
      <c r="N75" s="1573"/>
      <c r="O75" s="1573"/>
      <c r="P75" s="1573"/>
      <c r="Q75" s="1574">
        <f>+L75</f>
        <v>-2441685</v>
      </c>
      <c r="R75" s="1571"/>
    </row>
    <row r="76" spans="1:19" s="1596" customFormat="1">
      <c r="A76" s="1568">
        <f t="shared" ref="A76:A88" si="28">+A75+1</f>
        <v>60</v>
      </c>
      <c r="B76" s="1575" t="s">
        <v>155</v>
      </c>
      <c r="C76" s="1574">
        <f t="shared" ref="C76:C87" si="29">C45</f>
        <v>31</v>
      </c>
      <c r="D76" s="1576">
        <f t="shared" ref="D76:D84" si="30">D77+C77</f>
        <v>335</v>
      </c>
      <c r="E76" s="1576">
        <f>SUM(C76:C87)</f>
        <v>365</v>
      </c>
      <c r="F76" s="1577">
        <f>D76/E76</f>
        <v>0.9178082191780822</v>
      </c>
      <c r="G76" s="1576"/>
      <c r="H76" s="1574">
        <f>(J95-J92)/12</f>
        <v>0</v>
      </c>
      <c r="I76" s="1574">
        <f>+H76*F76</f>
        <v>0</v>
      </c>
      <c r="J76" s="1574">
        <f t="shared" ref="J76:J87" si="31">+I76+J75</f>
        <v>0</v>
      </c>
      <c r="K76" s="1576"/>
      <c r="L76" s="1574">
        <f>(Q95-Q92)/12</f>
        <v>33390.333333333336</v>
      </c>
      <c r="M76" s="1574">
        <f>L76-H76</f>
        <v>33390.333333333336</v>
      </c>
      <c r="N76" s="1574">
        <f>IF(AND(H76&gt;=0,L76&gt;=0),IF(M76&gt;=0,I76,L76/H76*I76),IF(AND(H76&lt;0,L76&lt;0),IF(M76&lt;0,I76,L76/H76*I76),0))</f>
        <v>0</v>
      </c>
      <c r="O76" s="1574">
        <f t="shared" ref="O76:O87" si="32">IF(AND(H76&gt;=0,L76&gt;=0),IF(M76&gt;=0,M76,0),IF(AND(H76&lt;0,L76&lt;0),IF(M76&lt;0,M76,0),0))</f>
        <v>33390.333333333336</v>
      </c>
      <c r="P76" s="1574">
        <f>IF(AND(H76&gt;=0,L76&lt;0),L76,IF(AND(H76&lt;0,L76&gt;=0),L76,0))</f>
        <v>0</v>
      </c>
      <c r="Q76" s="1574">
        <f t="shared" ref="Q76:Q87" si="33">Q75+N76+(O76+P76)*0.5</f>
        <v>-2424989.8333333335</v>
      </c>
      <c r="R76" s="1571"/>
      <c r="S76" s="1627"/>
    </row>
    <row r="77" spans="1:19" s="1596" customFormat="1">
      <c r="A77" s="1568">
        <f t="shared" si="28"/>
        <v>61</v>
      </c>
      <c r="B77" s="1575" t="s">
        <v>154</v>
      </c>
      <c r="C77" s="1579">
        <f t="shared" si="29"/>
        <v>28</v>
      </c>
      <c r="D77" s="1576">
        <f t="shared" si="30"/>
        <v>307</v>
      </c>
      <c r="E77" s="1576">
        <f>E76</f>
        <v>365</v>
      </c>
      <c r="F77" s="1577">
        <f t="shared" ref="F77:F87" si="34">D77/E77</f>
        <v>0.84109589041095889</v>
      </c>
      <c r="G77" s="1576"/>
      <c r="H77" s="1574">
        <f>H76</f>
        <v>0</v>
      </c>
      <c r="I77" s="1574">
        <f>+H77*F77</f>
        <v>0</v>
      </c>
      <c r="J77" s="1574">
        <f t="shared" si="31"/>
        <v>0</v>
      </c>
      <c r="K77" s="1576"/>
      <c r="L77" s="1574">
        <f>L76</f>
        <v>33390.333333333336</v>
      </c>
      <c r="M77" s="1574">
        <f>L77-H77</f>
        <v>33390.333333333336</v>
      </c>
      <c r="N77" s="1574">
        <f t="shared" ref="N77:N87" si="35">IF(AND(H77&gt;=0,L77&gt;=0),IF(M77&gt;=0,I77,L77/H77*I77),IF(AND(H77&lt;0,L77&lt;0),IF(M77&lt;0,I77,L77/H77*I77),0))</f>
        <v>0</v>
      </c>
      <c r="O77" s="1574">
        <f t="shared" si="32"/>
        <v>33390.333333333336</v>
      </c>
      <c r="P77" s="1574">
        <f t="shared" ref="P77:P87" si="36">IF(AND(H77&gt;=0,L77&lt;0),L77,IF(AND(H77&lt;0,L77&gt;=0),L77,0))</f>
        <v>0</v>
      </c>
      <c r="Q77" s="1574">
        <f t="shared" si="33"/>
        <v>-2408294.666666667</v>
      </c>
      <c r="R77" s="1571"/>
    </row>
    <row r="78" spans="1:19" s="1596" customFormat="1">
      <c r="A78" s="1568">
        <f t="shared" si="28"/>
        <v>62</v>
      </c>
      <c r="B78" s="1575" t="s">
        <v>153</v>
      </c>
      <c r="C78" s="1574">
        <f t="shared" si="29"/>
        <v>31</v>
      </c>
      <c r="D78" s="1576">
        <f t="shared" si="30"/>
        <v>276</v>
      </c>
      <c r="E78" s="1576">
        <f t="shared" ref="E78:E87" si="37">E77</f>
        <v>365</v>
      </c>
      <c r="F78" s="1577">
        <f t="shared" si="34"/>
        <v>0.75616438356164384</v>
      </c>
      <c r="G78" s="1576"/>
      <c r="H78" s="1574">
        <f t="shared" ref="H78:H87" si="38">H77</f>
        <v>0</v>
      </c>
      <c r="I78" s="1574">
        <f>+H78*F78</f>
        <v>0</v>
      </c>
      <c r="J78" s="1574">
        <f>+I78+J77</f>
        <v>0</v>
      </c>
      <c r="K78" s="1576"/>
      <c r="L78" s="1574">
        <f t="shared" ref="L78:L87" si="39">L77</f>
        <v>33390.333333333336</v>
      </c>
      <c r="M78" s="1574">
        <f>L78-H78</f>
        <v>33390.333333333336</v>
      </c>
      <c r="N78" s="1574">
        <f t="shared" si="35"/>
        <v>0</v>
      </c>
      <c r="O78" s="1574">
        <f t="shared" si="32"/>
        <v>33390.333333333336</v>
      </c>
      <c r="P78" s="1574">
        <f t="shared" si="36"/>
        <v>0</v>
      </c>
      <c r="Q78" s="1574">
        <f t="shared" si="33"/>
        <v>-2391599.5000000005</v>
      </c>
      <c r="R78" s="1571"/>
    </row>
    <row r="79" spans="1:19" s="1596" customFormat="1">
      <c r="A79" s="1568">
        <f t="shared" si="28"/>
        <v>63</v>
      </c>
      <c r="B79" s="1575" t="s">
        <v>133</v>
      </c>
      <c r="C79" s="1574">
        <f t="shared" si="29"/>
        <v>30</v>
      </c>
      <c r="D79" s="1576">
        <f t="shared" si="30"/>
        <v>246</v>
      </c>
      <c r="E79" s="1576">
        <f t="shared" si="37"/>
        <v>365</v>
      </c>
      <c r="F79" s="1577">
        <f t="shared" si="34"/>
        <v>0.67397260273972603</v>
      </c>
      <c r="G79" s="1576"/>
      <c r="H79" s="1574">
        <f t="shared" si="38"/>
        <v>0</v>
      </c>
      <c r="I79" s="1574">
        <f t="shared" ref="I79:I87" si="40">+H79*F79</f>
        <v>0</v>
      </c>
      <c r="J79" s="1574">
        <f t="shared" si="31"/>
        <v>0</v>
      </c>
      <c r="K79" s="1576"/>
      <c r="L79" s="1574">
        <f t="shared" si="39"/>
        <v>33390.333333333336</v>
      </c>
      <c r="M79" s="1574">
        <f t="shared" ref="M79:M87" si="41">L79-H79</f>
        <v>33390.333333333336</v>
      </c>
      <c r="N79" s="1574">
        <f t="shared" si="35"/>
        <v>0</v>
      </c>
      <c r="O79" s="1574">
        <f t="shared" si="32"/>
        <v>33390.333333333336</v>
      </c>
      <c r="P79" s="1574">
        <f t="shared" si="36"/>
        <v>0</v>
      </c>
      <c r="Q79" s="1574">
        <f t="shared" si="33"/>
        <v>-2374904.333333334</v>
      </c>
      <c r="R79" s="1571"/>
    </row>
    <row r="80" spans="1:19" s="1596" customFormat="1">
      <c r="A80" s="1568">
        <f t="shared" si="28"/>
        <v>64</v>
      </c>
      <c r="B80" s="1575" t="s">
        <v>130</v>
      </c>
      <c r="C80" s="1574">
        <f t="shared" si="29"/>
        <v>31</v>
      </c>
      <c r="D80" s="1576">
        <f t="shared" si="30"/>
        <v>215</v>
      </c>
      <c r="E80" s="1576">
        <f t="shared" si="37"/>
        <v>365</v>
      </c>
      <c r="F80" s="1577">
        <f t="shared" si="34"/>
        <v>0.58904109589041098</v>
      </c>
      <c r="G80" s="1576"/>
      <c r="H80" s="1574">
        <f t="shared" si="38"/>
        <v>0</v>
      </c>
      <c r="I80" s="1574">
        <f t="shared" si="40"/>
        <v>0</v>
      </c>
      <c r="J80" s="1574">
        <f t="shared" si="31"/>
        <v>0</v>
      </c>
      <c r="K80" s="1576"/>
      <c r="L80" s="1574">
        <f t="shared" si="39"/>
        <v>33390.333333333336</v>
      </c>
      <c r="M80" s="1574">
        <f>L80-H80</f>
        <v>33390.333333333336</v>
      </c>
      <c r="N80" s="1574">
        <f t="shared" si="35"/>
        <v>0</v>
      </c>
      <c r="O80" s="1574">
        <f t="shared" si="32"/>
        <v>33390.333333333336</v>
      </c>
      <c r="P80" s="1574">
        <f t="shared" si="36"/>
        <v>0</v>
      </c>
      <c r="Q80" s="1574">
        <f t="shared" si="33"/>
        <v>-2358209.1666666674</v>
      </c>
      <c r="R80" s="1571"/>
    </row>
    <row r="81" spans="1:18" s="1596" customFormat="1">
      <c r="A81" s="1568">
        <f t="shared" si="28"/>
        <v>65</v>
      </c>
      <c r="B81" s="1575" t="s">
        <v>261</v>
      </c>
      <c r="C81" s="1574">
        <f t="shared" si="29"/>
        <v>30</v>
      </c>
      <c r="D81" s="1576">
        <f t="shared" si="30"/>
        <v>185</v>
      </c>
      <c r="E81" s="1576">
        <f t="shared" si="37"/>
        <v>365</v>
      </c>
      <c r="F81" s="1577">
        <f t="shared" si="34"/>
        <v>0.50684931506849318</v>
      </c>
      <c r="G81" s="1576"/>
      <c r="H81" s="1574">
        <f t="shared" si="38"/>
        <v>0</v>
      </c>
      <c r="I81" s="1574">
        <f t="shared" si="40"/>
        <v>0</v>
      </c>
      <c r="J81" s="1574">
        <f t="shared" si="31"/>
        <v>0</v>
      </c>
      <c r="K81" s="1576"/>
      <c r="L81" s="1574">
        <f t="shared" si="39"/>
        <v>33390.333333333336</v>
      </c>
      <c r="M81" s="1574">
        <f t="shared" si="41"/>
        <v>33390.333333333336</v>
      </c>
      <c r="N81" s="1574">
        <f t="shared" si="35"/>
        <v>0</v>
      </c>
      <c r="O81" s="1574">
        <f t="shared" si="32"/>
        <v>33390.333333333336</v>
      </c>
      <c r="P81" s="1574">
        <f t="shared" si="36"/>
        <v>0</v>
      </c>
      <c r="Q81" s="1574">
        <f t="shared" si="33"/>
        <v>-2341514.0000000009</v>
      </c>
      <c r="R81" s="1571"/>
    </row>
    <row r="82" spans="1:18" s="1596" customFormat="1">
      <c r="A82" s="1568">
        <f t="shared" si="28"/>
        <v>66</v>
      </c>
      <c r="B82" s="1575" t="s">
        <v>151</v>
      </c>
      <c r="C82" s="1574">
        <f t="shared" si="29"/>
        <v>31</v>
      </c>
      <c r="D82" s="1576">
        <f t="shared" si="30"/>
        <v>154</v>
      </c>
      <c r="E82" s="1576">
        <f t="shared" si="37"/>
        <v>365</v>
      </c>
      <c r="F82" s="1577">
        <f t="shared" si="34"/>
        <v>0.42191780821917807</v>
      </c>
      <c r="G82" s="1576"/>
      <c r="H82" s="1574">
        <f t="shared" si="38"/>
        <v>0</v>
      </c>
      <c r="I82" s="1574">
        <f t="shared" si="40"/>
        <v>0</v>
      </c>
      <c r="J82" s="1574">
        <f t="shared" si="31"/>
        <v>0</v>
      </c>
      <c r="K82" s="1576"/>
      <c r="L82" s="1574">
        <f t="shared" si="39"/>
        <v>33390.333333333336</v>
      </c>
      <c r="M82" s="1574">
        <f t="shared" si="41"/>
        <v>33390.333333333336</v>
      </c>
      <c r="N82" s="1574">
        <f t="shared" si="35"/>
        <v>0</v>
      </c>
      <c r="O82" s="1574">
        <f t="shared" si="32"/>
        <v>33390.333333333336</v>
      </c>
      <c r="P82" s="1574">
        <f t="shared" si="36"/>
        <v>0</v>
      </c>
      <c r="Q82" s="1574">
        <f t="shared" si="33"/>
        <v>-2324818.8333333344</v>
      </c>
      <c r="R82" s="1571"/>
    </row>
    <row r="83" spans="1:18" s="1596" customFormat="1">
      <c r="A83" s="1568">
        <f t="shared" si="28"/>
        <v>67</v>
      </c>
      <c r="B83" s="1575" t="s">
        <v>150</v>
      </c>
      <c r="C83" s="1574">
        <f t="shared" si="29"/>
        <v>31</v>
      </c>
      <c r="D83" s="1576">
        <f t="shared" si="30"/>
        <v>123</v>
      </c>
      <c r="E83" s="1576">
        <f t="shared" si="37"/>
        <v>365</v>
      </c>
      <c r="F83" s="1577">
        <f t="shared" si="34"/>
        <v>0.33698630136986302</v>
      </c>
      <c r="G83" s="1576"/>
      <c r="H83" s="1574">
        <f t="shared" si="38"/>
        <v>0</v>
      </c>
      <c r="I83" s="1574">
        <f t="shared" si="40"/>
        <v>0</v>
      </c>
      <c r="J83" s="1574">
        <f t="shared" si="31"/>
        <v>0</v>
      </c>
      <c r="K83" s="1576"/>
      <c r="L83" s="1574">
        <f t="shared" si="39"/>
        <v>33390.333333333336</v>
      </c>
      <c r="M83" s="1574">
        <f t="shared" si="41"/>
        <v>33390.333333333336</v>
      </c>
      <c r="N83" s="1574">
        <f t="shared" si="35"/>
        <v>0</v>
      </c>
      <c r="O83" s="1574">
        <f t="shared" si="32"/>
        <v>33390.333333333336</v>
      </c>
      <c r="P83" s="1574">
        <f t="shared" si="36"/>
        <v>0</v>
      </c>
      <c r="Q83" s="1574">
        <f t="shared" si="33"/>
        <v>-2308123.6666666679</v>
      </c>
      <c r="R83" s="1571"/>
    </row>
    <row r="84" spans="1:18" s="1596" customFormat="1">
      <c r="A84" s="1568">
        <f t="shared" si="28"/>
        <v>68</v>
      </c>
      <c r="B84" s="1575" t="s">
        <v>149</v>
      </c>
      <c r="C84" s="1574">
        <f t="shared" si="29"/>
        <v>30</v>
      </c>
      <c r="D84" s="1576">
        <f t="shared" si="30"/>
        <v>93</v>
      </c>
      <c r="E84" s="1576">
        <f t="shared" si="37"/>
        <v>365</v>
      </c>
      <c r="F84" s="1577">
        <f t="shared" si="34"/>
        <v>0.25479452054794521</v>
      </c>
      <c r="G84" s="1576"/>
      <c r="H84" s="1574">
        <f t="shared" si="38"/>
        <v>0</v>
      </c>
      <c r="I84" s="1574">
        <f t="shared" si="40"/>
        <v>0</v>
      </c>
      <c r="J84" s="1574">
        <f t="shared" si="31"/>
        <v>0</v>
      </c>
      <c r="K84" s="1576"/>
      <c r="L84" s="1574">
        <f t="shared" si="39"/>
        <v>33390.333333333336</v>
      </c>
      <c r="M84" s="1574">
        <f t="shared" si="41"/>
        <v>33390.333333333336</v>
      </c>
      <c r="N84" s="1574">
        <f t="shared" si="35"/>
        <v>0</v>
      </c>
      <c r="O84" s="1574">
        <f t="shared" si="32"/>
        <v>33390.333333333336</v>
      </c>
      <c r="P84" s="1574">
        <f t="shared" si="36"/>
        <v>0</v>
      </c>
      <c r="Q84" s="1574">
        <f t="shared" si="33"/>
        <v>-2291428.5000000014</v>
      </c>
      <c r="R84" s="1571"/>
    </row>
    <row r="85" spans="1:18" s="1596" customFormat="1">
      <c r="A85" s="1568">
        <f t="shared" si="28"/>
        <v>69</v>
      </c>
      <c r="B85" s="1575" t="s">
        <v>160</v>
      </c>
      <c r="C85" s="1574">
        <f t="shared" si="29"/>
        <v>31</v>
      </c>
      <c r="D85" s="1576">
        <f>D86+C86</f>
        <v>62</v>
      </c>
      <c r="E85" s="1576">
        <f t="shared" si="37"/>
        <v>365</v>
      </c>
      <c r="F85" s="1577">
        <f t="shared" si="34"/>
        <v>0.16986301369863013</v>
      </c>
      <c r="G85" s="1576"/>
      <c r="H85" s="1574">
        <f t="shared" si="38"/>
        <v>0</v>
      </c>
      <c r="I85" s="1574">
        <f t="shared" si="40"/>
        <v>0</v>
      </c>
      <c r="J85" s="1574">
        <f t="shared" si="31"/>
        <v>0</v>
      </c>
      <c r="K85" s="1576"/>
      <c r="L85" s="1574">
        <f t="shared" si="39"/>
        <v>33390.333333333336</v>
      </c>
      <c r="M85" s="1574">
        <f t="shared" si="41"/>
        <v>33390.333333333336</v>
      </c>
      <c r="N85" s="1574">
        <f t="shared" si="35"/>
        <v>0</v>
      </c>
      <c r="O85" s="1574">
        <f t="shared" si="32"/>
        <v>33390.333333333336</v>
      </c>
      <c r="P85" s="1574">
        <f t="shared" si="36"/>
        <v>0</v>
      </c>
      <c r="Q85" s="1574">
        <f t="shared" si="33"/>
        <v>-2274733.3333333349</v>
      </c>
      <c r="R85" s="1571"/>
    </row>
    <row r="86" spans="1:18" s="1596" customFormat="1">
      <c r="A86" s="1568">
        <f t="shared" si="28"/>
        <v>70</v>
      </c>
      <c r="B86" s="1575" t="s">
        <v>147</v>
      </c>
      <c r="C86" s="1574">
        <f t="shared" si="29"/>
        <v>30</v>
      </c>
      <c r="D86" s="1576">
        <f>D87+C87</f>
        <v>32</v>
      </c>
      <c r="E86" s="1576">
        <f t="shared" si="37"/>
        <v>365</v>
      </c>
      <c r="F86" s="1577">
        <f t="shared" si="34"/>
        <v>8.7671232876712329E-2</v>
      </c>
      <c r="G86" s="1576"/>
      <c r="H86" s="1574">
        <f t="shared" si="38"/>
        <v>0</v>
      </c>
      <c r="I86" s="1574">
        <f t="shared" si="40"/>
        <v>0</v>
      </c>
      <c r="J86" s="1574">
        <f t="shared" si="31"/>
        <v>0</v>
      </c>
      <c r="K86" s="1576"/>
      <c r="L86" s="1574">
        <f t="shared" si="39"/>
        <v>33390.333333333336</v>
      </c>
      <c r="M86" s="1574">
        <f t="shared" si="41"/>
        <v>33390.333333333336</v>
      </c>
      <c r="N86" s="1574">
        <f t="shared" si="35"/>
        <v>0</v>
      </c>
      <c r="O86" s="1574">
        <f t="shared" si="32"/>
        <v>33390.333333333336</v>
      </c>
      <c r="P86" s="1574">
        <f t="shared" si="36"/>
        <v>0</v>
      </c>
      <c r="Q86" s="1574">
        <f t="shared" si="33"/>
        <v>-2258038.1666666684</v>
      </c>
      <c r="R86" s="1571"/>
    </row>
    <row r="87" spans="1:18" s="1596" customFormat="1">
      <c r="A87" s="1568">
        <f t="shared" si="28"/>
        <v>71</v>
      </c>
      <c r="B87" s="1575" t="s">
        <v>145</v>
      </c>
      <c r="C87" s="1580">
        <f t="shared" si="29"/>
        <v>31</v>
      </c>
      <c r="D87" s="1576">
        <v>1</v>
      </c>
      <c r="E87" s="1576">
        <f t="shared" si="37"/>
        <v>365</v>
      </c>
      <c r="F87" s="1577">
        <f t="shared" si="34"/>
        <v>2.7397260273972603E-3</v>
      </c>
      <c r="G87" s="1576"/>
      <c r="H87" s="1580">
        <f t="shared" si="38"/>
        <v>0</v>
      </c>
      <c r="I87" s="1574">
        <f t="shared" si="40"/>
        <v>0</v>
      </c>
      <c r="J87" s="1574">
        <f t="shared" si="31"/>
        <v>0</v>
      </c>
      <c r="K87" s="1576"/>
      <c r="L87" s="1574">
        <f t="shared" si="39"/>
        <v>33390.333333333336</v>
      </c>
      <c r="M87" s="1574">
        <f t="shared" si="41"/>
        <v>33390.333333333336</v>
      </c>
      <c r="N87" s="1574">
        <f t="shared" si="35"/>
        <v>0</v>
      </c>
      <c r="O87" s="1574">
        <f t="shared" si="32"/>
        <v>33390.333333333336</v>
      </c>
      <c r="P87" s="1574">
        <f t="shared" si="36"/>
        <v>0</v>
      </c>
      <c r="Q87" s="1574">
        <f t="shared" si="33"/>
        <v>-2241343.0000000019</v>
      </c>
      <c r="R87" s="1571"/>
    </row>
    <row r="88" spans="1:18" s="1596" customFormat="1" ht="25.5">
      <c r="A88" s="1568">
        <f t="shared" si="28"/>
        <v>72</v>
      </c>
      <c r="B88" s="1581" t="s">
        <v>1159</v>
      </c>
      <c r="C88" s="1582">
        <f>SUM(C76:C87)</f>
        <v>365</v>
      </c>
      <c r="D88" s="1581"/>
      <c r="E88" s="1581"/>
      <c r="F88" s="1583"/>
      <c r="G88" s="1576"/>
      <c r="H88" s="1584">
        <f>SUM(H76:H87)</f>
        <v>0</v>
      </c>
      <c r="I88" s="1584">
        <f>SUM(I76:I87)</f>
        <v>0</v>
      </c>
      <c r="J88" s="1583"/>
      <c r="K88" s="1585"/>
      <c r="L88" s="1584">
        <f>SUM(L76:L87)</f>
        <v>400683.99999999994</v>
      </c>
      <c r="M88" s="1584">
        <f>SUM(M76:M87)</f>
        <v>400683.99999999994</v>
      </c>
      <c r="N88" s="1584">
        <f>SUM(N76:N87)</f>
        <v>0</v>
      </c>
      <c r="O88" s="1584">
        <f>SUM(O76:O87)</f>
        <v>400683.99999999994</v>
      </c>
      <c r="P88" s="1584">
        <f>SUM(P76:P87)</f>
        <v>0</v>
      </c>
      <c r="Q88" s="1595"/>
      <c r="R88" s="1571"/>
    </row>
    <row r="89" spans="1:18" s="1596" customFormat="1">
      <c r="A89" s="1568"/>
      <c r="B89" s="1571"/>
      <c r="C89" s="1571"/>
      <c r="D89" s="1571"/>
      <c r="E89" s="1571"/>
      <c r="F89" s="1571"/>
      <c r="G89" s="1571"/>
      <c r="H89" s="1571"/>
      <c r="I89" s="1571"/>
      <c r="J89" s="1571"/>
      <c r="K89" s="1571"/>
      <c r="L89" s="1571"/>
      <c r="M89" s="1571"/>
      <c r="N89" s="1571"/>
      <c r="O89" s="1571"/>
      <c r="P89" s="1571"/>
      <c r="Q89" s="1571"/>
      <c r="R89" s="1571"/>
    </row>
    <row r="90" spans="1:18" s="1596" customFormat="1">
      <c r="A90" s="1568">
        <v>73</v>
      </c>
      <c r="B90" s="882" t="s">
        <v>1132</v>
      </c>
      <c r="C90" s="1571"/>
      <c r="D90" s="1571"/>
      <c r="E90" s="1518" t="s">
        <v>1179</v>
      </c>
      <c r="F90" s="1599"/>
      <c r="G90" s="1518"/>
      <c r="H90" s="1518"/>
      <c r="I90" s="1571"/>
      <c r="J90" s="1579">
        <v>0</v>
      </c>
      <c r="K90" s="1571"/>
      <c r="L90" s="882" t="s">
        <v>1132</v>
      </c>
      <c r="M90" s="1571"/>
      <c r="N90" s="1571"/>
      <c r="O90" s="882" t="s">
        <v>1133</v>
      </c>
      <c r="P90" s="1571"/>
      <c r="Q90" s="1574">
        <f>+'6a- ADIT'!D10+'6a- ADIT'!E10</f>
        <v>-2441685</v>
      </c>
      <c r="R90" s="1571"/>
    </row>
    <row r="91" spans="1:18" s="1596" customFormat="1">
      <c r="A91" s="1568">
        <v>74</v>
      </c>
      <c r="B91" s="882" t="s">
        <v>1134</v>
      </c>
      <c r="C91" s="1571"/>
      <c r="D91" s="1571"/>
      <c r="E91" s="1518" t="s">
        <v>1179</v>
      </c>
      <c r="F91" s="1599"/>
      <c r="G91" s="1518"/>
      <c r="H91" s="1518"/>
      <c r="I91" s="1571"/>
      <c r="J91" s="1579">
        <f>Q91</f>
        <v>0</v>
      </c>
      <c r="K91" s="1571"/>
      <c r="L91" s="882" t="s">
        <v>1134</v>
      </c>
      <c r="M91" s="1571"/>
      <c r="N91" s="1571"/>
      <c r="O91" s="882" t="s">
        <v>1135</v>
      </c>
      <c r="P91" s="1571"/>
      <c r="Q91" s="1574">
        <f>+'6c-EDIT'!D25</f>
        <v>0</v>
      </c>
      <c r="R91" s="1571"/>
    </row>
    <row r="92" spans="1:18" s="1596" customFormat="1">
      <c r="A92" s="1568">
        <v>75</v>
      </c>
      <c r="B92" s="882" t="s">
        <v>1136</v>
      </c>
      <c r="C92" s="1571"/>
      <c r="D92" s="1571"/>
      <c r="E92" s="1518" t="s">
        <v>1179</v>
      </c>
      <c r="F92" s="1599"/>
      <c r="G92" s="1518"/>
      <c r="H92" s="1518"/>
      <c r="I92" s="1571"/>
      <c r="J92" s="1584">
        <f>+J90+J91</f>
        <v>0</v>
      </c>
      <c r="K92" s="1573"/>
      <c r="L92" s="882" t="s">
        <v>1136</v>
      </c>
      <c r="M92" s="1571"/>
      <c r="N92" s="1571"/>
      <c r="O92" s="882"/>
      <c r="P92" s="1573"/>
      <c r="Q92" s="1584">
        <f>+Q90+Q91</f>
        <v>-2441685</v>
      </c>
      <c r="R92" s="1571"/>
    </row>
    <row r="93" spans="1:18" s="1596" customFormat="1">
      <c r="A93" s="1568">
        <v>76</v>
      </c>
      <c r="B93" s="882" t="s">
        <v>1137</v>
      </c>
      <c r="C93" s="1571"/>
      <c r="D93" s="1571"/>
      <c r="E93" s="1518" t="s">
        <v>1179</v>
      </c>
      <c r="F93" s="1599"/>
      <c r="G93" s="1518"/>
      <c r="H93" s="1518"/>
      <c r="I93" s="1571"/>
      <c r="J93" s="1579">
        <v>0</v>
      </c>
      <c r="K93" s="1571"/>
      <c r="L93" s="882" t="s">
        <v>1137</v>
      </c>
      <c r="M93" s="1571"/>
      <c r="N93" s="1571"/>
      <c r="O93" s="882" t="s">
        <v>1138</v>
      </c>
      <c r="P93" s="1571"/>
      <c r="Q93" s="1574">
        <f>+'6b- ADIT'!D10+'6b- ADIT'!E10</f>
        <v>-2041001</v>
      </c>
      <c r="R93" s="1571"/>
    </row>
    <row r="94" spans="1:18" s="1596" customFormat="1">
      <c r="A94" s="1568">
        <v>77</v>
      </c>
      <c r="B94" s="882" t="s">
        <v>1139</v>
      </c>
      <c r="C94" s="1571"/>
      <c r="D94" s="1571"/>
      <c r="E94" s="1518" t="s">
        <v>1179</v>
      </c>
      <c r="F94" s="1599"/>
      <c r="G94" s="1518"/>
      <c r="H94" s="1518"/>
      <c r="I94" s="1571"/>
      <c r="J94" s="1579">
        <v>0</v>
      </c>
      <c r="K94" s="1571"/>
      <c r="L94" s="882" t="s">
        <v>1139</v>
      </c>
      <c r="M94" s="1571"/>
      <c r="N94" s="1571"/>
      <c r="O94" s="882" t="s">
        <v>1135</v>
      </c>
      <c r="P94" s="1571"/>
      <c r="Q94" s="1574">
        <f>+'6c-EDIT'!I25</f>
        <v>0</v>
      </c>
      <c r="R94" s="1571"/>
    </row>
    <row r="95" spans="1:18" s="1596" customFormat="1">
      <c r="A95" s="1568">
        <v>78</v>
      </c>
      <c r="B95" s="882" t="s">
        <v>1140</v>
      </c>
      <c r="C95" s="1571"/>
      <c r="D95" s="1571"/>
      <c r="E95" s="1518" t="s">
        <v>1179</v>
      </c>
      <c r="F95" s="1599"/>
      <c r="G95" s="1518"/>
      <c r="H95" s="1518"/>
      <c r="I95" s="1571"/>
      <c r="J95" s="1584">
        <f>+J93+J94</f>
        <v>0</v>
      </c>
      <c r="K95" s="1571"/>
      <c r="L95" s="882" t="s">
        <v>1140</v>
      </c>
      <c r="M95" s="1571"/>
      <c r="N95" s="1571"/>
      <c r="O95" s="882"/>
      <c r="P95" s="1571"/>
      <c r="Q95" s="1584">
        <f>+Q93+Q94</f>
        <v>-2041001</v>
      </c>
      <c r="R95" s="1571"/>
    </row>
    <row r="96" spans="1:18" s="1596" customFormat="1">
      <c r="A96" s="1568">
        <v>79</v>
      </c>
      <c r="B96" s="1571"/>
      <c r="C96" s="1571"/>
      <c r="D96" s="1571"/>
      <c r="E96" s="1571"/>
      <c r="F96" s="882"/>
      <c r="G96" s="1571"/>
      <c r="H96" s="1571"/>
      <c r="I96" s="1571"/>
      <c r="J96" s="1574"/>
      <c r="K96" s="1571"/>
      <c r="L96" s="1571"/>
      <c r="M96" s="1571"/>
      <c r="N96" s="1571"/>
      <c r="O96" s="1571"/>
      <c r="P96" s="1571"/>
      <c r="Q96" s="1574"/>
      <c r="R96" s="1571"/>
    </row>
    <row r="97" spans="1:18" s="1596" customFormat="1">
      <c r="A97" s="1568">
        <v>80</v>
      </c>
      <c r="B97" s="882" t="s">
        <v>1037</v>
      </c>
      <c r="C97" s="1571"/>
      <c r="D97" s="1571"/>
      <c r="E97" s="1571"/>
      <c r="F97" s="882"/>
      <c r="G97" s="1571"/>
      <c r="H97" s="1571"/>
      <c r="I97" s="1571"/>
      <c r="J97" s="1574"/>
      <c r="K97" s="1571"/>
      <c r="L97" s="882" t="s">
        <v>1037</v>
      </c>
      <c r="M97" s="1571"/>
      <c r="N97" s="1571"/>
      <c r="O97" s="1571"/>
      <c r="P97" s="1571"/>
      <c r="Q97" s="1574"/>
      <c r="R97" s="1571"/>
    </row>
    <row r="98" spans="1:18" s="1596" customFormat="1">
      <c r="A98" s="1568">
        <v>81</v>
      </c>
      <c r="B98" s="882" t="s">
        <v>1160</v>
      </c>
      <c r="C98" s="1571"/>
      <c r="D98" s="1571"/>
      <c r="E98" s="1571"/>
      <c r="F98" s="882" t="s">
        <v>1161</v>
      </c>
      <c r="G98" s="1571"/>
      <c r="H98" s="1571"/>
      <c r="I98" s="1571"/>
      <c r="J98" s="1574">
        <f>+J87</f>
        <v>0</v>
      </c>
      <c r="K98" s="1571"/>
      <c r="L98" s="882" t="s">
        <v>1160</v>
      </c>
      <c r="M98" s="1571"/>
      <c r="N98" s="1571"/>
      <c r="O98" s="882" t="s">
        <v>1161</v>
      </c>
      <c r="P98" s="1571"/>
      <c r="Q98" s="1574">
        <f>+Q87</f>
        <v>-2241343.0000000019</v>
      </c>
      <c r="R98" s="1571"/>
    </row>
    <row r="99" spans="1:18" s="1596" customFormat="1">
      <c r="A99" s="1568"/>
      <c r="B99" s="1571"/>
      <c r="C99" s="1571"/>
      <c r="D99" s="1571"/>
      <c r="E99" s="1571"/>
      <c r="F99" s="1571"/>
      <c r="G99" s="1571"/>
      <c r="H99" s="1571"/>
      <c r="I99" s="1571"/>
      <c r="J99" s="1571"/>
      <c r="K99" s="1571"/>
      <c r="L99" s="1571"/>
      <c r="M99" s="1571"/>
      <c r="N99" s="1571"/>
      <c r="O99" s="1571"/>
      <c r="P99" s="1571"/>
      <c r="Q99" s="1571"/>
      <c r="R99" s="1571"/>
    </row>
    <row r="100" spans="1:18" s="1596" customFormat="1" ht="15.75" thickBot="1">
      <c r="A100" s="1568">
        <v>82</v>
      </c>
      <c r="B100" s="882" t="s">
        <v>1162</v>
      </c>
      <c r="C100" s="1571"/>
      <c r="D100" s="1571"/>
      <c r="E100" s="1571"/>
      <c r="F100" s="882" t="s">
        <v>1163</v>
      </c>
      <c r="G100" s="1571"/>
      <c r="H100" s="1571"/>
      <c r="I100" s="1571"/>
      <c r="J100" s="1598">
        <f>+J98+J67+J36</f>
        <v>0</v>
      </c>
      <c r="K100" s="1571"/>
      <c r="L100" s="1571"/>
      <c r="M100" s="1571"/>
      <c r="N100" s="1571"/>
      <c r="O100" s="882" t="s">
        <v>1163</v>
      </c>
      <c r="P100" s="1571"/>
      <c r="Q100" s="1598">
        <f>+Q98+Q67+Q36</f>
        <v>-2241343.0000000019</v>
      </c>
      <c r="R100" s="1571"/>
    </row>
    <row r="101" spans="1:18" s="1596" customFormat="1" ht="15.75" thickTop="1">
      <c r="A101" s="1568"/>
      <c r="B101" s="1571"/>
      <c r="C101" s="1571"/>
      <c r="D101" s="1571"/>
      <c r="E101" s="1571"/>
      <c r="F101" s="1571"/>
      <c r="G101" s="1571"/>
      <c r="H101" s="1571"/>
      <c r="I101" s="1571"/>
      <c r="J101" s="1573"/>
      <c r="K101" s="1571"/>
      <c r="L101" s="1571"/>
      <c r="M101" s="1571"/>
      <c r="N101" s="1571"/>
      <c r="O101" s="882"/>
      <c r="P101" s="1571"/>
      <c r="Q101" s="1574"/>
      <c r="R101" s="1571"/>
    </row>
    <row r="102" spans="1:18" s="1596" customFormat="1">
      <c r="A102" s="1568">
        <v>53</v>
      </c>
      <c r="B102" s="882" t="s">
        <v>1180</v>
      </c>
      <c r="C102" s="1571"/>
      <c r="D102" s="1571"/>
      <c r="E102" s="1571"/>
      <c r="F102" s="1571"/>
      <c r="G102" s="1571"/>
      <c r="H102" s="1571"/>
      <c r="I102" s="1571"/>
      <c r="J102" s="1579">
        <f>+Q100</f>
        <v>-2241343.0000000019</v>
      </c>
      <c r="K102" s="1571"/>
      <c r="L102" s="1571"/>
      <c r="M102" s="1571"/>
      <c r="N102" s="1571"/>
      <c r="O102" s="882"/>
      <c r="P102" s="1571"/>
      <c r="Q102" s="1574"/>
      <c r="R102" s="1571"/>
    </row>
    <row r="103" spans="1:18" s="1534" customFormat="1">
      <c r="A103" s="1532"/>
      <c r="B103" s="1533"/>
      <c r="C103" s="1533"/>
      <c r="D103" s="1533"/>
      <c r="E103" s="1533"/>
      <c r="F103" s="1533"/>
      <c r="G103" s="1533"/>
      <c r="H103" s="1533"/>
      <c r="I103" s="1533"/>
      <c r="J103" s="1535"/>
      <c r="K103" s="1533"/>
      <c r="L103" s="1533"/>
      <c r="M103" s="1533"/>
      <c r="N103" s="1533"/>
      <c r="O103" s="1524"/>
      <c r="P103" s="1533"/>
      <c r="Q103" s="1536"/>
      <c r="R103" s="1533"/>
    </row>
    <row r="104" spans="1:18" s="1534" customFormat="1">
      <c r="A104" s="1568" t="s">
        <v>1164</v>
      </c>
      <c r="B104" s="882"/>
      <c r="C104" s="882"/>
      <c r="D104" s="882"/>
      <c r="E104" s="882"/>
      <c r="F104" s="882"/>
      <c r="G104" s="882"/>
      <c r="H104" s="882"/>
      <c r="I104" s="882"/>
      <c r="J104" s="882"/>
      <c r="K104" s="882"/>
      <c r="L104" s="882"/>
      <c r="M104" s="1571"/>
      <c r="N104" s="1571"/>
      <c r="O104" s="1571"/>
      <c r="P104" s="1533"/>
      <c r="Q104" s="1533"/>
      <c r="R104" s="1533"/>
    </row>
    <row r="105" spans="1:18" s="1534" customFormat="1">
      <c r="A105" s="1568"/>
      <c r="B105" s="1734" t="s">
        <v>1165</v>
      </c>
      <c r="C105" s="1734"/>
      <c r="D105" s="1734"/>
      <c r="E105" s="1734"/>
      <c r="F105" s="1734"/>
      <c r="G105" s="1734"/>
      <c r="H105" s="1734"/>
      <c r="I105" s="1734"/>
      <c r="J105" s="1734"/>
      <c r="K105" s="1734"/>
      <c r="L105" s="1734"/>
      <c r="M105" s="1735"/>
      <c r="N105" s="1735"/>
      <c r="O105" s="1735"/>
      <c r="P105" s="1533"/>
      <c r="Q105" s="1533"/>
      <c r="R105" s="1533"/>
    </row>
    <row r="106" spans="1:18" s="1534" customFormat="1">
      <c r="A106" s="1568"/>
      <c r="B106" s="1734" t="s">
        <v>1166</v>
      </c>
      <c r="C106" s="1734"/>
      <c r="D106" s="1734"/>
      <c r="E106" s="1734"/>
      <c r="F106" s="1734"/>
      <c r="G106" s="1734"/>
      <c r="H106" s="1734"/>
      <c r="I106" s="1734"/>
      <c r="J106" s="1734"/>
      <c r="K106" s="1734"/>
      <c r="L106" s="1734"/>
      <c r="M106" s="1735"/>
      <c r="N106" s="1735"/>
      <c r="O106" s="1735"/>
      <c r="P106" s="1533"/>
      <c r="Q106" s="1533"/>
      <c r="R106" s="1533"/>
    </row>
    <row r="107" spans="1:18" s="1534" customFormat="1">
      <c r="A107" s="1568"/>
      <c r="B107" s="1734" t="s">
        <v>1167</v>
      </c>
      <c r="C107" s="1734"/>
      <c r="D107" s="1734"/>
      <c r="E107" s="1734"/>
      <c r="F107" s="1734"/>
      <c r="G107" s="1734"/>
      <c r="H107" s="1734"/>
      <c r="I107" s="1734"/>
      <c r="J107" s="1734"/>
      <c r="K107" s="1734"/>
      <c r="L107" s="1734"/>
      <c r="M107" s="1735"/>
      <c r="N107" s="1735"/>
      <c r="O107" s="1735"/>
      <c r="P107" s="1533"/>
      <c r="Q107" s="1533"/>
      <c r="R107" s="1533"/>
    </row>
    <row r="108" spans="1:18" s="1534" customFormat="1">
      <c r="A108" s="1568"/>
      <c r="B108" s="1734" t="s">
        <v>1168</v>
      </c>
      <c r="C108" s="1734"/>
      <c r="D108" s="1734"/>
      <c r="E108" s="1734"/>
      <c r="F108" s="1734"/>
      <c r="G108" s="1734"/>
      <c r="H108" s="1734"/>
      <c r="I108" s="1734"/>
      <c r="J108" s="1734"/>
      <c r="K108" s="1734"/>
      <c r="L108" s="1734"/>
      <c r="M108" s="1735"/>
      <c r="N108" s="1735"/>
      <c r="O108" s="1735"/>
      <c r="P108" s="1533"/>
      <c r="Q108" s="1533"/>
      <c r="R108" s="1533"/>
    </row>
    <row r="109" spans="1:18" s="1534" customFormat="1">
      <c r="A109" s="1568"/>
      <c r="B109" s="1734" t="s">
        <v>1169</v>
      </c>
      <c r="C109" s="1734"/>
      <c r="D109" s="1734"/>
      <c r="E109" s="1734"/>
      <c r="F109" s="1734"/>
      <c r="G109" s="1734"/>
      <c r="H109" s="1734"/>
      <c r="I109" s="1734"/>
      <c r="J109" s="1734"/>
      <c r="K109" s="1734"/>
      <c r="L109" s="1734"/>
      <c r="M109" s="1735"/>
      <c r="N109" s="1735"/>
      <c r="O109" s="1735"/>
      <c r="P109" s="1533"/>
      <c r="Q109" s="1533"/>
      <c r="R109" s="1533"/>
    </row>
    <row r="110" spans="1:18" s="1534" customFormat="1">
      <c r="A110" s="1568"/>
      <c r="B110" s="1734" t="s">
        <v>1170</v>
      </c>
      <c r="C110" s="1734"/>
      <c r="D110" s="1734"/>
      <c r="E110" s="1734"/>
      <c r="F110" s="1734"/>
      <c r="G110" s="1734"/>
      <c r="H110" s="1734"/>
      <c r="I110" s="1734"/>
      <c r="J110" s="1734"/>
      <c r="K110" s="1734"/>
      <c r="L110" s="1734"/>
      <c r="M110" s="1735"/>
      <c r="N110" s="1735"/>
      <c r="O110" s="1735"/>
      <c r="P110" s="1533"/>
      <c r="Q110" s="1533"/>
      <c r="R110" s="1533"/>
    </row>
    <row r="111" spans="1:18">
      <c r="A111" s="344"/>
      <c r="B111" s="344"/>
      <c r="C111" s="344"/>
      <c r="D111" s="344"/>
      <c r="E111" s="344"/>
      <c r="F111" s="344"/>
      <c r="G111" s="344"/>
      <c r="H111" s="344"/>
      <c r="I111" s="344"/>
      <c r="J111" s="344"/>
      <c r="K111" s="344"/>
      <c r="L111" s="344"/>
      <c r="M111" s="344"/>
      <c r="N111" s="344"/>
      <c r="O111" s="344"/>
      <c r="P111" s="344"/>
      <c r="Q111" s="344"/>
      <c r="R111" s="344"/>
    </row>
    <row r="112" spans="1:18">
      <c r="A112" s="344"/>
      <c r="B112" s="344"/>
      <c r="C112" s="344"/>
      <c r="D112" s="344"/>
      <c r="E112" s="344"/>
      <c r="F112" s="344"/>
      <c r="G112" s="344"/>
      <c r="H112" s="344"/>
      <c r="I112" s="344"/>
      <c r="J112" s="344"/>
      <c r="K112" s="344"/>
      <c r="L112" s="344"/>
      <c r="M112" s="344"/>
      <c r="N112" s="344"/>
      <c r="O112" s="344"/>
      <c r="P112" s="344"/>
      <c r="Q112" s="344"/>
      <c r="R112" s="344"/>
    </row>
    <row r="113" spans="1:18">
      <c r="A113" s="344"/>
      <c r="B113" s="344"/>
      <c r="C113" s="344"/>
      <c r="D113" s="344"/>
      <c r="E113" s="344"/>
      <c r="F113" s="344"/>
      <c r="G113" s="344"/>
      <c r="H113" s="344"/>
      <c r="I113" s="344"/>
      <c r="J113" s="344"/>
      <c r="K113" s="344"/>
      <c r="L113" s="344"/>
      <c r="M113" s="344"/>
      <c r="N113" s="344"/>
      <c r="O113" s="344"/>
      <c r="P113" s="344"/>
      <c r="Q113" s="344"/>
      <c r="R113" s="344"/>
    </row>
    <row r="114" spans="1:18">
      <c r="A114" s="344"/>
      <c r="B114" s="344"/>
      <c r="C114" s="344"/>
      <c r="D114" s="344"/>
      <c r="E114" s="344"/>
      <c r="F114" s="344"/>
      <c r="G114" s="344"/>
      <c r="H114" s="344"/>
      <c r="I114" s="344"/>
      <c r="J114" s="344"/>
      <c r="K114" s="344"/>
      <c r="L114" s="344"/>
      <c r="M114" s="344"/>
      <c r="N114" s="344"/>
      <c r="O114" s="344"/>
      <c r="P114" s="344"/>
      <c r="Q114" s="344"/>
      <c r="R114" s="344"/>
    </row>
    <row r="115" spans="1:18">
      <c r="A115" s="344"/>
      <c r="B115" s="344"/>
      <c r="C115" s="344"/>
      <c r="D115" s="344"/>
      <c r="E115" s="344"/>
      <c r="F115" s="344"/>
      <c r="G115" s="344"/>
      <c r="H115" s="344"/>
      <c r="I115" s="344"/>
      <c r="J115" s="344"/>
      <c r="K115" s="344"/>
      <c r="L115" s="344"/>
      <c r="M115" s="344"/>
      <c r="N115" s="344"/>
      <c r="O115" s="344"/>
      <c r="P115" s="344"/>
      <c r="Q115" s="344"/>
      <c r="R115" s="344"/>
    </row>
    <row r="116" spans="1:18">
      <c r="A116" s="344"/>
      <c r="B116" s="344"/>
      <c r="C116" s="344"/>
      <c r="D116" s="344"/>
      <c r="E116" s="344"/>
      <c r="F116" s="344"/>
      <c r="G116" s="344"/>
      <c r="H116" s="344"/>
      <c r="I116" s="344"/>
      <c r="J116" s="344"/>
      <c r="K116" s="344"/>
      <c r="L116" s="344"/>
      <c r="M116" s="344"/>
      <c r="N116" s="344"/>
      <c r="O116" s="344"/>
      <c r="P116" s="344"/>
      <c r="Q116" s="344"/>
      <c r="R116" s="344"/>
    </row>
    <row r="117" spans="1:18">
      <c r="A117" s="344"/>
      <c r="B117" s="344"/>
      <c r="C117" s="344"/>
      <c r="D117" s="344"/>
      <c r="E117" s="344"/>
      <c r="F117" s="344"/>
      <c r="G117" s="344"/>
      <c r="H117" s="344"/>
      <c r="I117" s="344"/>
      <c r="J117" s="344"/>
      <c r="K117" s="344"/>
      <c r="L117" s="344"/>
      <c r="M117" s="344"/>
      <c r="N117" s="344"/>
      <c r="O117" s="344"/>
      <c r="P117" s="344"/>
      <c r="Q117" s="344"/>
      <c r="R117" s="344"/>
    </row>
    <row r="118" spans="1:18">
      <c r="A118" s="344"/>
      <c r="B118" s="344"/>
      <c r="C118" s="344"/>
      <c r="D118" s="344"/>
      <c r="E118" s="344"/>
      <c r="F118" s="344"/>
      <c r="G118" s="344"/>
      <c r="H118" s="344"/>
      <c r="I118" s="344"/>
      <c r="J118" s="344"/>
      <c r="K118" s="344"/>
      <c r="L118" s="344"/>
      <c r="M118" s="344"/>
      <c r="N118" s="344"/>
      <c r="O118" s="344"/>
      <c r="P118" s="344"/>
      <c r="Q118" s="344"/>
      <c r="R118" s="344"/>
    </row>
    <row r="119" spans="1:18">
      <c r="A119" s="344"/>
      <c r="B119" s="344"/>
      <c r="C119" s="344"/>
      <c r="D119" s="344"/>
      <c r="E119" s="344"/>
      <c r="F119" s="344"/>
      <c r="G119" s="344"/>
      <c r="H119" s="344"/>
      <c r="I119" s="344"/>
      <c r="J119" s="344"/>
      <c r="K119" s="344"/>
      <c r="L119" s="344"/>
      <c r="M119" s="344"/>
      <c r="N119" s="344"/>
      <c r="O119" s="344"/>
      <c r="P119" s="344"/>
      <c r="Q119" s="344"/>
      <c r="R119" s="344"/>
    </row>
    <row r="120" spans="1:18">
      <c r="A120" s="344"/>
      <c r="B120" s="344"/>
      <c r="C120" s="344"/>
      <c r="D120" s="344"/>
      <c r="E120" s="344"/>
      <c r="F120" s="344"/>
      <c r="G120" s="344"/>
      <c r="H120" s="344"/>
      <c r="I120" s="344"/>
      <c r="J120" s="344"/>
      <c r="K120" s="344"/>
      <c r="L120" s="344"/>
      <c r="M120" s="344"/>
      <c r="N120" s="344"/>
      <c r="O120" s="344"/>
      <c r="P120" s="344"/>
      <c r="Q120" s="344"/>
      <c r="R120" s="344"/>
    </row>
    <row r="121" spans="1:18">
      <c r="A121" s="344"/>
      <c r="B121" s="344"/>
      <c r="C121" s="344"/>
      <c r="D121" s="344"/>
      <c r="E121" s="344"/>
      <c r="F121" s="344"/>
      <c r="G121" s="344"/>
      <c r="H121" s="344"/>
      <c r="I121" s="344"/>
      <c r="J121" s="344"/>
      <c r="K121" s="344"/>
      <c r="L121" s="344"/>
      <c r="M121" s="344"/>
      <c r="N121" s="344"/>
      <c r="O121" s="344"/>
      <c r="P121" s="344"/>
      <c r="Q121" s="344"/>
      <c r="R121" s="344"/>
    </row>
    <row r="122" spans="1:18">
      <c r="A122" s="344"/>
      <c r="B122" s="344"/>
      <c r="C122" s="344"/>
      <c r="D122" s="344"/>
      <c r="E122" s="344"/>
      <c r="F122" s="344"/>
      <c r="G122" s="344"/>
      <c r="H122" s="344"/>
      <c r="I122" s="344"/>
      <c r="J122" s="344"/>
      <c r="K122" s="344"/>
      <c r="L122" s="344"/>
      <c r="M122" s="344"/>
      <c r="N122" s="344"/>
      <c r="O122" s="344"/>
      <c r="P122" s="344"/>
      <c r="Q122" s="344"/>
      <c r="R122" s="344"/>
    </row>
    <row r="123" spans="1:18">
      <c r="A123" s="344"/>
      <c r="B123" s="344"/>
      <c r="C123" s="344"/>
      <c r="D123" s="344"/>
      <c r="E123" s="344"/>
      <c r="F123" s="344"/>
      <c r="G123" s="344"/>
      <c r="H123" s="344"/>
      <c r="I123" s="344"/>
      <c r="J123" s="344"/>
      <c r="K123" s="344"/>
      <c r="L123" s="344"/>
      <c r="M123" s="344"/>
      <c r="N123" s="344"/>
      <c r="O123" s="344"/>
      <c r="P123" s="344"/>
      <c r="Q123" s="344"/>
      <c r="R123" s="344"/>
    </row>
    <row r="124" spans="1:18">
      <c r="A124" s="344"/>
      <c r="B124" s="344"/>
      <c r="C124" s="344"/>
      <c r="D124" s="344"/>
      <c r="E124" s="344"/>
      <c r="F124" s="344"/>
      <c r="G124" s="344"/>
      <c r="H124" s="344"/>
      <c r="I124" s="344"/>
      <c r="J124" s="344"/>
      <c r="K124" s="344"/>
      <c r="L124" s="344"/>
      <c r="M124" s="344"/>
      <c r="N124" s="344"/>
      <c r="O124" s="344"/>
      <c r="P124" s="344"/>
      <c r="Q124" s="344"/>
      <c r="R124" s="344"/>
    </row>
    <row r="125" spans="1:18">
      <c r="A125" s="344"/>
      <c r="B125" s="344"/>
      <c r="C125" s="344"/>
      <c r="D125" s="344"/>
      <c r="E125" s="344"/>
      <c r="F125" s="344"/>
      <c r="G125" s="344"/>
      <c r="H125" s="344"/>
      <c r="I125" s="344"/>
      <c r="J125" s="344"/>
      <c r="K125" s="344"/>
      <c r="L125" s="344"/>
      <c r="M125" s="344"/>
      <c r="N125" s="344"/>
      <c r="O125" s="344"/>
      <c r="P125" s="344"/>
      <c r="Q125" s="344"/>
      <c r="R125" s="344"/>
    </row>
    <row r="126" spans="1:18">
      <c r="A126" s="344"/>
      <c r="B126" s="344"/>
      <c r="C126" s="344"/>
      <c r="D126" s="344"/>
      <c r="E126" s="344"/>
      <c r="F126" s="344"/>
      <c r="G126" s="344"/>
      <c r="H126" s="344"/>
      <c r="I126" s="344"/>
      <c r="J126" s="344"/>
      <c r="K126" s="344"/>
      <c r="L126" s="344"/>
      <c r="M126" s="344"/>
      <c r="N126" s="344"/>
      <c r="O126" s="344"/>
      <c r="P126" s="344"/>
      <c r="Q126" s="344"/>
      <c r="R126" s="344"/>
    </row>
    <row r="127" spans="1:18">
      <c r="A127" s="344"/>
      <c r="B127" s="344"/>
      <c r="C127" s="344"/>
      <c r="D127" s="344"/>
      <c r="E127" s="344"/>
      <c r="F127" s="344"/>
      <c r="G127" s="344"/>
      <c r="H127" s="344"/>
      <c r="I127" s="344"/>
      <c r="J127" s="344"/>
      <c r="K127" s="344"/>
      <c r="L127" s="344"/>
      <c r="M127" s="344"/>
      <c r="N127" s="344"/>
      <c r="O127" s="344"/>
      <c r="P127" s="344"/>
      <c r="Q127" s="344"/>
      <c r="R127" s="344"/>
    </row>
    <row r="128" spans="1:18">
      <c r="A128" s="344"/>
      <c r="B128" s="344"/>
      <c r="C128" s="344"/>
      <c r="D128" s="344"/>
      <c r="E128" s="344"/>
      <c r="F128" s="344"/>
      <c r="G128" s="344"/>
      <c r="H128" s="344"/>
      <c r="I128" s="344"/>
      <c r="J128" s="344"/>
      <c r="K128" s="344"/>
      <c r="L128" s="344"/>
      <c r="M128" s="344"/>
      <c r="N128" s="344"/>
      <c r="O128" s="344"/>
      <c r="P128" s="344"/>
      <c r="Q128" s="344"/>
      <c r="R128" s="344"/>
    </row>
    <row r="129" spans="1:18">
      <c r="A129" s="344"/>
      <c r="B129" s="344"/>
      <c r="C129" s="344"/>
      <c r="D129" s="344"/>
      <c r="E129" s="344"/>
      <c r="F129" s="344"/>
      <c r="G129" s="344"/>
      <c r="H129" s="344"/>
      <c r="I129" s="344"/>
      <c r="J129" s="344"/>
      <c r="K129" s="344"/>
      <c r="L129" s="344"/>
      <c r="M129" s="344"/>
      <c r="N129" s="344"/>
      <c r="O129" s="344"/>
      <c r="P129" s="344"/>
      <c r="Q129" s="344"/>
      <c r="R129" s="344"/>
    </row>
    <row r="130" spans="1:18">
      <c r="A130" s="344"/>
      <c r="B130" s="344"/>
      <c r="C130" s="344"/>
      <c r="D130" s="344"/>
      <c r="E130" s="344"/>
      <c r="F130" s="344"/>
      <c r="G130" s="344"/>
      <c r="H130" s="344"/>
      <c r="I130" s="344"/>
      <c r="J130" s="344"/>
      <c r="K130" s="344"/>
      <c r="L130" s="344"/>
      <c r="M130" s="344"/>
      <c r="N130" s="344"/>
      <c r="O130" s="344"/>
      <c r="P130" s="344"/>
      <c r="Q130" s="344"/>
      <c r="R130" s="344"/>
    </row>
    <row r="131" spans="1:18">
      <c r="A131" s="344"/>
      <c r="B131" s="344"/>
      <c r="C131" s="344"/>
      <c r="D131" s="344"/>
      <c r="E131" s="344"/>
      <c r="F131" s="344"/>
      <c r="G131" s="344"/>
      <c r="H131" s="344"/>
      <c r="I131" s="344"/>
      <c r="J131" s="344"/>
      <c r="K131" s="344"/>
      <c r="L131" s="344"/>
      <c r="M131" s="344"/>
      <c r="N131" s="344"/>
      <c r="O131" s="344"/>
      <c r="P131" s="344"/>
      <c r="Q131" s="344"/>
      <c r="R131" s="344"/>
    </row>
    <row r="132" spans="1:18">
      <c r="A132" s="344"/>
      <c r="B132" s="344"/>
      <c r="C132" s="344"/>
      <c r="D132" s="344"/>
      <c r="E132" s="344"/>
      <c r="F132" s="344"/>
      <c r="G132" s="344"/>
      <c r="H132" s="344"/>
      <c r="I132" s="344"/>
      <c r="J132" s="344"/>
      <c r="K132" s="344"/>
      <c r="L132" s="344"/>
      <c r="M132" s="344"/>
      <c r="N132" s="344"/>
      <c r="O132" s="344"/>
      <c r="P132" s="344"/>
      <c r="Q132" s="344"/>
      <c r="R132" s="344"/>
    </row>
  </sheetData>
  <mergeCells count="20">
    <mergeCell ref="B9:F9"/>
    <mergeCell ref="H9:J9"/>
    <mergeCell ref="L9:Q9"/>
    <mergeCell ref="A1:V1"/>
    <mergeCell ref="A2:V2"/>
    <mergeCell ref="A3:V3"/>
    <mergeCell ref="B7:J7"/>
    <mergeCell ref="L7:Q7"/>
    <mergeCell ref="B110:O110"/>
    <mergeCell ref="B40:F40"/>
    <mergeCell ref="H40:J40"/>
    <mergeCell ref="L40:Q40"/>
    <mergeCell ref="B71:F71"/>
    <mergeCell ref="H71:J71"/>
    <mergeCell ref="L71:Q71"/>
    <mergeCell ref="B105:O105"/>
    <mergeCell ref="B106:O106"/>
    <mergeCell ref="B107:O107"/>
    <mergeCell ref="B108:O108"/>
    <mergeCell ref="B109:O109"/>
  </mergeCells>
  <pageMargins left="0.7" right="0.7" top="0.75" bottom="0.5" header="0.3" footer="0.3"/>
  <pageSetup scale="32" fitToHeight="0" orientation="portrait" horizontalDpi="1200" verticalDpi="1200" r:id="rId1"/>
  <rowBreaks count="1" manualBreakCount="1">
    <brk id="68" max="16"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sheetPr>
  <dimension ref="A1:N63"/>
  <sheetViews>
    <sheetView view="pageBreakPreview" zoomScale="85" zoomScaleNormal="80" zoomScaleSheetLayoutView="85" workbookViewId="0">
      <selection activeCell="J27" sqref="J27"/>
    </sheetView>
  </sheetViews>
  <sheetFormatPr defaultColWidth="8.88671875" defaultRowHeight="15"/>
  <cols>
    <col min="1" max="1" width="6.21875" style="1329" bestFit="1" customWidth="1"/>
    <col min="2" max="2" width="21.77734375" style="344" customWidth="1"/>
    <col min="3" max="3" width="26.33203125" style="344" customWidth="1"/>
    <col min="4" max="4" width="2.33203125" style="344" customWidth="1"/>
    <col min="5" max="5" width="18.77734375" style="344" customWidth="1"/>
    <col min="6" max="6" width="1.77734375" style="344" customWidth="1"/>
    <col min="7" max="7" width="18.664062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88671875" style="344"/>
    <col min="14" max="14" width="8.44140625" style="344" bestFit="1" customWidth="1"/>
    <col min="15" max="16384" width="8.88671875" style="344"/>
  </cols>
  <sheetData>
    <row r="1" spans="1:13" s="343" customFormat="1" ht="15.75">
      <c r="A1" s="1328"/>
      <c r="B1" s="1743"/>
      <c r="C1" s="1743"/>
      <c r="D1" s="1743"/>
      <c r="E1" s="1743"/>
      <c r="F1" s="1743"/>
      <c r="G1" s="1743"/>
      <c r="H1" s="1743"/>
      <c r="I1" s="1743"/>
      <c r="J1" s="1743"/>
      <c r="K1" s="1743"/>
      <c r="L1" s="1743"/>
    </row>
    <row r="2" spans="1:13" s="343" customFormat="1" ht="18">
      <c r="A2" s="1328"/>
      <c r="B2" s="1744" t="s">
        <v>358</v>
      </c>
      <c r="C2" s="1744"/>
      <c r="D2" s="1744"/>
      <c r="E2" s="1744"/>
      <c r="F2" s="1744"/>
      <c r="G2" s="1744"/>
      <c r="H2" s="1744"/>
      <c r="I2" s="1744"/>
      <c r="J2" s="1744"/>
      <c r="K2" s="1744"/>
      <c r="L2" s="1744"/>
    </row>
    <row r="3" spans="1:13" s="343" customFormat="1" ht="18">
      <c r="A3" s="1328"/>
      <c r="B3" s="1744" t="str">
        <f>+'Appendix III'!E8</f>
        <v>MidAmerican Central California Transco, LLC</v>
      </c>
      <c r="C3" s="1744"/>
      <c r="D3" s="1744"/>
      <c r="E3" s="1744"/>
      <c r="F3" s="1744"/>
      <c r="G3" s="1744"/>
      <c r="H3" s="1744"/>
      <c r="I3" s="1744"/>
      <c r="J3" s="1744"/>
      <c r="K3" s="1744"/>
      <c r="L3" s="1744"/>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7">
        <v>1</v>
      </c>
      <c r="B6" s="439">
        <v>2019</v>
      </c>
      <c r="C6" s="440"/>
      <c r="D6" s="440"/>
      <c r="E6" s="439">
        <v>2019</v>
      </c>
      <c r="F6" s="371"/>
      <c r="G6" s="371"/>
      <c r="H6" s="371"/>
      <c r="I6" s="371"/>
      <c r="K6" s="371"/>
      <c r="L6" s="371"/>
      <c r="M6" s="343"/>
    </row>
    <row r="7" spans="1:13" ht="31.5">
      <c r="A7" s="1117">
        <f>+A6+1</f>
        <v>2</v>
      </c>
      <c r="B7" s="372" t="s">
        <v>1061</v>
      </c>
      <c r="C7" s="371"/>
      <c r="D7" s="371"/>
      <c r="E7" s="372" t="s">
        <v>1062</v>
      </c>
      <c r="F7" s="371"/>
      <c r="G7" s="371"/>
      <c r="H7" s="372" t="s">
        <v>595</v>
      </c>
      <c r="K7" s="353"/>
      <c r="L7" s="353"/>
      <c r="M7" s="343"/>
    </row>
    <row r="8" spans="1:13" ht="15.75">
      <c r="A8" s="1117">
        <f t="shared" ref="A8:A54" si="0">+A7+1</f>
        <v>3</v>
      </c>
      <c r="B8" s="373"/>
      <c r="C8" s="371"/>
      <c r="D8" s="371"/>
      <c r="E8" s="373"/>
      <c r="F8" s="371"/>
      <c r="G8" s="371"/>
      <c r="H8" s="374"/>
      <c r="K8" s="353"/>
      <c r="L8" s="353"/>
      <c r="M8" s="343"/>
    </row>
    <row r="9" spans="1:13" ht="16.5" thickBot="1">
      <c r="A9" s="1117">
        <f>+A8+1</f>
        <v>4</v>
      </c>
      <c r="B9" s="441">
        <f>881085-881085</f>
        <v>0</v>
      </c>
      <c r="C9" s="356" t="s">
        <v>299</v>
      </c>
      <c r="D9" s="354"/>
      <c r="E9" s="441">
        <f>2260924-2260924</f>
        <v>0</v>
      </c>
      <c r="F9" s="355"/>
      <c r="G9" s="356" t="s">
        <v>300</v>
      </c>
      <c r="H9" s="375">
        <f>IF(E9=0,0,B9-E9)</f>
        <v>0</v>
      </c>
      <c r="K9" s="353"/>
      <c r="L9" s="353"/>
      <c r="M9" s="343"/>
    </row>
    <row r="10" spans="1:13" ht="15.75">
      <c r="A10" s="1117">
        <f t="shared" si="0"/>
        <v>5</v>
      </c>
      <c r="B10" s="355"/>
      <c r="C10" s="354"/>
      <c r="D10" s="354"/>
      <c r="E10" s="355"/>
      <c r="F10" s="355"/>
      <c r="G10" s="354"/>
      <c r="H10" s="355"/>
      <c r="I10" s="353"/>
      <c r="J10" s="353"/>
      <c r="K10" s="353"/>
      <c r="L10" s="353"/>
      <c r="M10" s="343"/>
    </row>
    <row r="11" spans="1:13" ht="16.5" thickBot="1">
      <c r="A11" s="1117">
        <f t="shared" si="0"/>
        <v>6</v>
      </c>
      <c r="B11" s="357"/>
      <c r="C11" s="358"/>
      <c r="D11" s="358"/>
      <c r="E11" s="357"/>
      <c r="F11" s="357"/>
      <c r="G11" s="358"/>
      <c r="H11" s="357"/>
      <c r="I11" s="359"/>
      <c r="J11" s="359"/>
      <c r="K11" s="359"/>
      <c r="L11" s="359"/>
      <c r="M11" s="343"/>
    </row>
    <row r="12" spans="1:13" ht="23.25" customHeight="1">
      <c r="A12" s="1117">
        <f t="shared" si="0"/>
        <v>7</v>
      </c>
      <c r="B12" s="376"/>
      <c r="C12" s="354"/>
      <c r="D12" s="354"/>
      <c r="E12" s="355"/>
      <c r="F12" s="355"/>
      <c r="G12" s="354"/>
      <c r="H12" s="355"/>
      <c r="I12" s="353"/>
      <c r="J12" s="353"/>
      <c r="K12" s="353"/>
      <c r="L12" s="353"/>
      <c r="M12" s="343"/>
    </row>
    <row r="13" spans="1:13" ht="53.25" customHeight="1">
      <c r="A13" s="1117">
        <f t="shared" si="0"/>
        <v>8</v>
      </c>
      <c r="B13" s="360" t="s">
        <v>253</v>
      </c>
      <c r="C13" s="354"/>
      <c r="D13" s="354"/>
      <c r="E13" s="361" t="s">
        <v>254</v>
      </c>
      <c r="F13" s="355"/>
      <c r="G13" s="361" t="s">
        <v>1063</v>
      </c>
      <c r="H13" s="356" t="s">
        <v>255</v>
      </c>
      <c r="I13" s="362" t="s">
        <v>256</v>
      </c>
      <c r="J13" s="361" t="s">
        <v>257</v>
      </c>
      <c r="K13" s="363"/>
      <c r="L13" s="361" t="s">
        <v>258</v>
      </c>
      <c r="M13" s="343"/>
    </row>
    <row r="14" spans="1:13" ht="15.75">
      <c r="A14" s="1117">
        <f t="shared" si="0"/>
        <v>9</v>
      </c>
      <c r="B14" s="360"/>
      <c r="C14" s="354"/>
      <c r="D14" s="354"/>
      <c r="E14" s="369"/>
      <c r="F14" s="364"/>
      <c r="G14" s="1506">
        <f>0.4%-0.4%</f>
        <v>0</v>
      </c>
      <c r="H14" s="355"/>
      <c r="I14" s="369"/>
      <c r="J14" s="369"/>
      <c r="K14" s="369"/>
      <c r="L14" s="369"/>
      <c r="M14" s="343"/>
    </row>
    <row r="15" spans="1:13" ht="15.75">
      <c r="A15" s="1117">
        <f t="shared" si="0"/>
        <v>10</v>
      </c>
      <c r="B15" s="360"/>
      <c r="C15" s="354"/>
      <c r="D15" s="354"/>
      <c r="E15" s="369"/>
      <c r="F15" s="364"/>
      <c r="G15" s="364"/>
      <c r="H15" s="355"/>
      <c r="I15" s="369"/>
      <c r="J15" s="369"/>
      <c r="K15" s="369"/>
      <c r="L15" s="369"/>
      <c r="M15" s="343"/>
    </row>
    <row r="16" spans="1:13" ht="15.75">
      <c r="A16" s="1117">
        <f t="shared" si="0"/>
        <v>11</v>
      </c>
      <c r="B16" s="360" t="s">
        <v>454</v>
      </c>
      <c r="C16" s="354"/>
      <c r="D16" s="354"/>
      <c r="E16" s="369"/>
      <c r="F16" s="364"/>
      <c r="G16" s="364"/>
      <c r="H16" s="355"/>
      <c r="I16" s="369"/>
      <c r="J16" s="369"/>
      <c r="K16" s="369"/>
      <c r="L16" s="369"/>
      <c r="M16" s="343"/>
    </row>
    <row r="17" spans="1:13" ht="15.75">
      <c r="A17" s="1117">
        <f t="shared" si="0"/>
        <v>12</v>
      </c>
      <c r="B17" s="365" t="s">
        <v>7</v>
      </c>
      <c r="C17" s="354"/>
      <c r="D17" s="354"/>
      <c r="E17" s="354"/>
      <c r="F17" s="354"/>
      <c r="G17" s="354" t="s">
        <v>7</v>
      </c>
      <c r="H17" s="369"/>
      <c r="I17" s="369"/>
      <c r="J17" s="369"/>
      <c r="K17" s="369"/>
      <c r="L17" s="369"/>
      <c r="M17" s="343"/>
    </row>
    <row r="18" spans="1:13" ht="15.75">
      <c r="A18" s="1117">
        <f t="shared" si="0"/>
        <v>13</v>
      </c>
      <c r="B18" s="377"/>
      <c r="C18" s="354"/>
      <c r="D18" s="354"/>
      <c r="E18" s="354"/>
      <c r="F18" s="354"/>
      <c r="G18" s="369"/>
      <c r="H18" s="369"/>
      <c r="I18" s="356"/>
      <c r="J18" s="354"/>
      <c r="K18" s="354"/>
      <c r="L18" s="354"/>
      <c r="M18" s="343"/>
    </row>
    <row r="19" spans="1:13" ht="15.75">
      <c r="A19" s="1117">
        <f t="shared" si="0"/>
        <v>14</v>
      </c>
      <c r="B19" s="377" t="s">
        <v>259</v>
      </c>
      <c r="C19" s="354"/>
      <c r="D19" s="354"/>
      <c r="E19" s="354"/>
      <c r="F19" s="354"/>
      <c r="G19" s="369"/>
      <c r="H19" s="369"/>
      <c r="I19" s="356" t="s">
        <v>260</v>
      </c>
      <c r="J19" s="354"/>
      <c r="K19" s="354"/>
      <c r="L19" s="354"/>
      <c r="M19" s="343"/>
    </row>
    <row r="20" spans="1:13" ht="15.75">
      <c r="A20" s="1117">
        <f t="shared" si="0"/>
        <v>15</v>
      </c>
      <c r="B20" s="371" t="s">
        <v>155</v>
      </c>
      <c r="C20" s="438" t="s">
        <v>1075</v>
      </c>
      <c r="D20" s="371"/>
      <c r="E20" s="378">
        <f>+H9/12</f>
        <v>0</v>
      </c>
      <c r="F20" s="378"/>
      <c r="G20" s="379">
        <f>+G14</f>
        <v>0</v>
      </c>
      <c r="H20" s="378">
        <v>12</v>
      </c>
      <c r="I20" s="378">
        <f>G20*E20*H20*-1</f>
        <v>0</v>
      </c>
      <c r="J20" s="378"/>
      <c r="K20" s="378"/>
      <c r="L20" s="378">
        <f>(-I20+E20)*-1</f>
        <v>0</v>
      </c>
      <c r="M20" s="343"/>
    </row>
    <row r="21" spans="1:13" ht="15.75">
      <c r="A21" s="1117">
        <f t="shared" si="0"/>
        <v>16</v>
      </c>
      <c r="B21" s="371" t="s">
        <v>154</v>
      </c>
      <c r="C21" s="438" t="str">
        <f>+C20</f>
        <v>Year 2019</v>
      </c>
      <c r="D21" s="371"/>
      <c r="E21" s="378">
        <f>+E20</f>
        <v>0</v>
      </c>
      <c r="F21" s="378"/>
      <c r="G21" s="379">
        <f>+G20</f>
        <v>0</v>
      </c>
      <c r="H21" s="442">
        <f t="shared" ref="H21:H31" si="1">+H20-1</f>
        <v>11</v>
      </c>
      <c r="I21" s="378">
        <f t="shared" ref="I21:I31" si="2">G21*E21*H21*-1</f>
        <v>0</v>
      </c>
      <c r="J21" s="378"/>
      <c r="K21" s="378"/>
      <c r="L21" s="378">
        <f t="shared" ref="L21:L31" si="3">(-I21+E21)*-1</f>
        <v>0</v>
      </c>
      <c r="M21" s="343"/>
    </row>
    <row r="22" spans="1:13" ht="15.75">
      <c r="A22" s="1117">
        <f t="shared" si="0"/>
        <v>17</v>
      </c>
      <c r="B22" s="371" t="s">
        <v>153</v>
      </c>
      <c r="C22" s="438" t="str">
        <f t="shared" ref="C22:C31" si="4">+C21</f>
        <v>Year 2019</v>
      </c>
      <c r="D22" s="371"/>
      <c r="E22" s="378">
        <f t="shared" ref="E22:E31" si="5">+E21</f>
        <v>0</v>
      </c>
      <c r="F22" s="378"/>
      <c r="G22" s="379">
        <f t="shared" ref="G22:G31" si="6">+G21</f>
        <v>0</v>
      </c>
      <c r="H22" s="442">
        <f t="shared" si="1"/>
        <v>10</v>
      </c>
      <c r="I22" s="378">
        <f t="shared" si="2"/>
        <v>0</v>
      </c>
      <c r="J22" s="378"/>
      <c r="K22" s="378"/>
      <c r="L22" s="378">
        <f t="shared" si="3"/>
        <v>0</v>
      </c>
      <c r="M22" s="343"/>
    </row>
    <row r="23" spans="1:13" ht="15.75">
      <c r="A23" s="1117">
        <f t="shared" si="0"/>
        <v>18</v>
      </c>
      <c r="B23" s="371" t="s">
        <v>133</v>
      </c>
      <c r="C23" s="438" t="str">
        <f t="shared" si="4"/>
        <v>Year 2019</v>
      </c>
      <c r="D23" s="371"/>
      <c r="E23" s="378">
        <f t="shared" si="5"/>
        <v>0</v>
      </c>
      <c r="F23" s="378"/>
      <c r="G23" s="379">
        <f t="shared" si="6"/>
        <v>0</v>
      </c>
      <c r="H23" s="442">
        <f t="shared" si="1"/>
        <v>9</v>
      </c>
      <c r="I23" s="378">
        <f t="shared" si="2"/>
        <v>0</v>
      </c>
      <c r="J23" s="378"/>
      <c r="K23" s="378"/>
      <c r="L23" s="378">
        <f t="shared" si="3"/>
        <v>0</v>
      </c>
      <c r="M23" s="343"/>
    </row>
    <row r="24" spans="1:13" ht="15.75">
      <c r="A24" s="1117">
        <f t="shared" si="0"/>
        <v>19</v>
      </c>
      <c r="B24" s="371" t="s">
        <v>130</v>
      </c>
      <c r="C24" s="438" t="str">
        <f t="shared" si="4"/>
        <v>Year 2019</v>
      </c>
      <c r="D24" s="371"/>
      <c r="E24" s="378">
        <f t="shared" si="5"/>
        <v>0</v>
      </c>
      <c r="F24" s="378"/>
      <c r="G24" s="379">
        <f t="shared" si="6"/>
        <v>0</v>
      </c>
      <c r="H24" s="442">
        <f t="shared" si="1"/>
        <v>8</v>
      </c>
      <c r="I24" s="378">
        <f t="shared" si="2"/>
        <v>0</v>
      </c>
      <c r="J24" s="378"/>
      <c r="K24" s="378"/>
      <c r="L24" s="378">
        <f t="shared" si="3"/>
        <v>0</v>
      </c>
      <c r="M24" s="343"/>
    </row>
    <row r="25" spans="1:13" ht="15.75">
      <c r="A25" s="1117">
        <f t="shared" si="0"/>
        <v>20</v>
      </c>
      <c r="B25" s="371" t="s">
        <v>261</v>
      </c>
      <c r="C25" s="438" t="str">
        <f t="shared" si="4"/>
        <v>Year 2019</v>
      </c>
      <c r="D25" s="371"/>
      <c r="E25" s="378">
        <f t="shared" si="5"/>
        <v>0</v>
      </c>
      <c r="F25" s="378"/>
      <c r="G25" s="379">
        <f t="shared" si="6"/>
        <v>0</v>
      </c>
      <c r="H25" s="442">
        <f t="shared" si="1"/>
        <v>7</v>
      </c>
      <c r="I25" s="378">
        <f t="shared" si="2"/>
        <v>0</v>
      </c>
      <c r="J25" s="378"/>
      <c r="K25" s="378"/>
      <c r="L25" s="378">
        <f t="shared" si="3"/>
        <v>0</v>
      </c>
      <c r="M25" s="343"/>
    </row>
    <row r="26" spans="1:13" ht="15.75">
      <c r="A26" s="1117">
        <f t="shared" si="0"/>
        <v>21</v>
      </c>
      <c r="B26" s="371" t="s">
        <v>151</v>
      </c>
      <c r="C26" s="438" t="str">
        <f t="shared" si="4"/>
        <v>Year 2019</v>
      </c>
      <c r="D26" s="371"/>
      <c r="E26" s="378">
        <f t="shared" si="5"/>
        <v>0</v>
      </c>
      <c r="F26" s="378"/>
      <c r="G26" s="379">
        <f t="shared" si="6"/>
        <v>0</v>
      </c>
      <c r="H26" s="442">
        <f t="shared" si="1"/>
        <v>6</v>
      </c>
      <c r="I26" s="378">
        <f t="shared" si="2"/>
        <v>0</v>
      </c>
      <c r="J26" s="378"/>
      <c r="K26" s="378"/>
      <c r="L26" s="378">
        <f t="shared" si="3"/>
        <v>0</v>
      </c>
      <c r="M26" s="343"/>
    </row>
    <row r="27" spans="1:13" ht="15.75">
      <c r="A27" s="1117">
        <f t="shared" si="0"/>
        <v>22</v>
      </c>
      <c r="B27" s="371" t="s">
        <v>150</v>
      </c>
      <c r="C27" s="438" t="str">
        <f t="shared" si="4"/>
        <v>Year 2019</v>
      </c>
      <c r="D27" s="371"/>
      <c r="E27" s="378">
        <f t="shared" si="5"/>
        <v>0</v>
      </c>
      <c r="F27" s="378"/>
      <c r="G27" s="379">
        <f t="shared" si="6"/>
        <v>0</v>
      </c>
      <c r="H27" s="442">
        <f t="shared" si="1"/>
        <v>5</v>
      </c>
      <c r="I27" s="378">
        <f t="shared" si="2"/>
        <v>0</v>
      </c>
      <c r="J27" s="378"/>
      <c r="K27" s="378"/>
      <c r="L27" s="378">
        <f t="shared" si="3"/>
        <v>0</v>
      </c>
      <c r="M27" s="343"/>
    </row>
    <row r="28" spans="1:13" ht="15.75">
      <c r="A28" s="1117">
        <f t="shared" si="0"/>
        <v>23</v>
      </c>
      <c r="B28" s="371" t="s">
        <v>149</v>
      </c>
      <c r="C28" s="438" t="str">
        <f t="shared" si="4"/>
        <v>Year 2019</v>
      </c>
      <c r="D28" s="371"/>
      <c r="E28" s="378">
        <f t="shared" si="5"/>
        <v>0</v>
      </c>
      <c r="F28" s="378"/>
      <c r="G28" s="379">
        <f t="shared" si="6"/>
        <v>0</v>
      </c>
      <c r="H28" s="442">
        <f t="shared" si="1"/>
        <v>4</v>
      </c>
      <c r="I28" s="378">
        <f t="shared" si="2"/>
        <v>0</v>
      </c>
      <c r="J28" s="378"/>
      <c r="K28" s="378"/>
      <c r="L28" s="378">
        <f t="shared" si="3"/>
        <v>0</v>
      </c>
      <c r="M28" s="343"/>
    </row>
    <row r="29" spans="1:13" ht="15.75">
      <c r="A29" s="1117">
        <f t="shared" si="0"/>
        <v>24</v>
      </c>
      <c r="B29" s="371" t="s">
        <v>160</v>
      </c>
      <c r="C29" s="438" t="str">
        <f t="shared" si="4"/>
        <v>Year 2019</v>
      </c>
      <c r="D29" s="371"/>
      <c r="E29" s="378">
        <f t="shared" si="5"/>
        <v>0</v>
      </c>
      <c r="F29" s="378"/>
      <c r="G29" s="379">
        <f t="shared" si="6"/>
        <v>0</v>
      </c>
      <c r="H29" s="442">
        <f t="shared" si="1"/>
        <v>3</v>
      </c>
      <c r="I29" s="378">
        <f t="shared" si="2"/>
        <v>0</v>
      </c>
      <c r="J29" s="378"/>
      <c r="K29" s="378"/>
      <c r="L29" s="378">
        <f t="shared" si="3"/>
        <v>0</v>
      </c>
      <c r="M29" s="343"/>
    </row>
    <row r="30" spans="1:13" ht="15.75">
      <c r="A30" s="1117">
        <f t="shared" si="0"/>
        <v>25</v>
      </c>
      <c r="B30" s="371" t="s">
        <v>147</v>
      </c>
      <c r="C30" s="438" t="str">
        <f t="shared" si="4"/>
        <v>Year 2019</v>
      </c>
      <c r="D30" s="371"/>
      <c r="E30" s="378">
        <f t="shared" si="5"/>
        <v>0</v>
      </c>
      <c r="F30" s="378"/>
      <c r="G30" s="379">
        <f t="shared" si="6"/>
        <v>0</v>
      </c>
      <c r="H30" s="442">
        <f t="shared" si="1"/>
        <v>2</v>
      </c>
      <c r="I30" s="378">
        <f t="shared" si="2"/>
        <v>0</v>
      </c>
      <c r="J30" s="378"/>
      <c r="K30" s="378"/>
      <c r="L30" s="378">
        <f t="shared" si="3"/>
        <v>0</v>
      </c>
      <c r="M30" s="343"/>
    </row>
    <row r="31" spans="1:13" ht="15.75">
      <c r="A31" s="1117">
        <f t="shared" si="0"/>
        <v>26</v>
      </c>
      <c r="B31" s="371" t="s">
        <v>145</v>
      </c>
      <c r="C31" s="438" t="str">
        <f t="shared" si="4"/>
        <v>Year 2019</v>
      </c>
      <c r="D31" s="371"/>
      <c r="E31" s="378">
        <f t="shared" si="5"/>
        <v>0</v>
      </c>
      <c r="F31" s="378"/>
      <c r="G31" s="379">
        <f t="shared" si="6"/>
        <v>0</v>
      </c>
      <c r="H31" s="442">
        <f t="shared" si="1"/>
        <v>1</v>
      </c>
      <c r="I31" s="366">
        <f t="shared" si="2"/>
        <v>0</v>
      </c>
      <c r="J31" s="378"/>
      <c r="K31" s="378"/>
      <c r="L31" s="378">
        <f t="shared" si="3"/>
        <v>0</v>
      </c>
      <c r="M31" s="343"/>
    </row>
    <row r="32" spans="1:13" ht="15.75">
      <c r="A32" s="1117">
        <f t="shared" si="0"/>
        <v>27</v>
      </c>
      <c r="B32" s="371"/>
      <c r="C32" s="371"/>
      <c r="D32" s="371"/>
      <c r="E32" s="378"/>
      <c r="F32" s="378"/>
      <c r="G32" s="379"/>
      <c r="H32" s="442"/>
      <c r="I32" s="378">
        <f>SUM(I20:I31)</f>
        <v>0</v>
      </c>
      <c r="J32" s="378"/>
      <c r="K32" s="378"/>
      <c r="L32" s="380">
        <f>SUM(L20:L31)</f>
        <v>0</v>
      </c>
      <c r="M32" s="343"/>
    </row>
    <row r="33" spans="1:14" ht="15.75">
      <c r="A33" s="1117">
        <f t="shared" si="0"/>
        <v>28</v>
      </c>
      <c r="B33" s="371"/>
      <c r="C33" s="371"/>
      <c r="D33" s="371"/>
      <c r="E33" s="378"/>
      <c r="F33" s="378"/>
      <c r="G33" s="379"/>
      <c r="H33" s="378"/>
      <c r="I33" s="378"/>
      <c r="J33" s="378" t="s">
        <v>7</v>
      </c>
      <c r="K33" s="378"/>
      <c r="L33" s="381"/>
      <c r="M33" s="343"/>
    </row>
    <row r="34" spans="1:14" ht="15.75">
      <c r="A34" s="1117">
        <f t="shared" si="0"/>
        <v>29</v>
      </c>
      <c r="B34" s="371"/>
      <c r="C34" s="371"/>
      <c r="D34" s="371"/>
      <c r="E34" s="355"/>
      <c r="F34" s="355"/>
      <c r="G34" s="379"/>
      <c r="H34" s="378"/>
      <c r="I34" s="382" t="s">
        <v>262</v>
      </c>
      <c r="J34" s="378"/>
      <c r="K34" s="378"/>
      <c r="L34" s="378"/>
      <c r="M34" s="343"/>
    </row>
    <row r="35" spans="1:14" ht="15.75">
      <c r="A35" s="1117">
        <f t="shared" si="0"/>
        <v>30</v>
      </c>
      <c r="B35" s="371" t="s">
        <v>263</v>
      </c>
      <c r="C35" s="438" t="s">
        <v>1077</v>
      </c>
      <c r="D35" s="371"/>
      <c r="E35" s="355">
        <f>L32</f>
        <v>0</v>
      </c>
      <c r="F35" s="355"/>
      <c r="G35" s="379">
        <f>+G31</f>
        <v>0</v>
      </c>
      <c r="H35" s="378">
        <v>12</v>
      </c>
      <c r="I35" s="378">
        <f>+H35*G35*E35</f>
        <v>0</v>
      </c>
      <c r="J35" s="378"/>
      <c r="K35" s="378"/>
      <c r="L35" s="380">
        <f>+E35+I35</f>
        <v>0</v>
      </c>
      <c r="M35" s="343"/>
    </row>
    <row r="36" spans="1:14" ht="15.75">
      <c r="A36" s="1117">
        <f t="shared" si="0"/>
        <v>31</v>
      </c>
      <c r="B36" s="371"/>
      <c r="C36" s="371"/>
      <c r="D36" s="371"/>
      <c r="E36" s="355"/>
      <c r="F36" s="355"/>
      <c r="G36" s="379"/>
      <c r="H36" s="371"/>
      <c r="I36" s="378"/>
      <c r="J36" s="378"/>
      <c r="K36" s="378"/>
      <c r="L36" s="378"/>
      <c r="M36" s="343"/>
    </row>
    <row r="37" spans="1:14" ht="15.75">
      <c r="A37" s="1117">
        <f t="shared" si="0"/>
        <v>32</v>
      </c>
      <c r="B37" s="383" t="s">
        <v>264</v>
      </c>
      <c r="C37" s="371"/>
      <c r="D37" s="371"/>
      <c r="E37" s="378"/>
      <c r="F37" s="378"/>
      <c r="G37" s="379"/>
      <c r="H37" s="371"/>
      <c r="I37" s="382" t="s">
        <v>260</v>
      </c>
      <c r="J37" s="378"/>
      <c r="K37" s="378"/>
      <c r="L37" s="378"/>
      <c r="M37" s="343"/>
    </row>
    <row r="38" spans="1:14" ht="15.75">
      <c r="A38" s="1117">
        <f t="shared" si="0"/>
        <v>33</v>
      </c>
      <c r="B38" s="371" t="s">
        <v>155</v>
      </c>
      <c r="C38" s="438" t="s">
        <v>1076</v>
      </c>
      <c r="D38" s="371"/>
      <c r="E38" s="384">
        <f>-L35</f>
        <v>0</v>
      </c>
      <c r="F38" s="355"/>
      <c r="G38" s="379">
        <f>+G31</f>
        <v>0</v>
      </c>
      <c r="H38" s="371"/>
      <c r="I38" s="378">
        <f xml:space="preserve"> -G38*E38</f>
        <v>0</v>
      </c>
      <c r="J38" s="378">
        <f>PMT(G38,12,L$35)</f>
        <v>0</v>
      </c>
      <c r="K38" s="378"/>
      <c r="L38" s="378">
        <f>(+E38+E38*G38-J38)*-1</f>
        <v>0</v>
      </c>
      <c r="M38" s="345"/>
      <c r="N38" s="346"/>
    </row>
    <row r="39" spans="1:14" ht="15.75">
      <c r="A39" s="1117">
        <f t="shared" si="0"/>
        <v>34</v>
      </c>
      <c r="B39" s="371" t="s">
        <v>154</v>
      </c>
      <c r="C39" s="438" t="str">
        <f>+C38</f>
        <v>Year 2021</v>
      </c>
      <c r="D39" s="371"/>
      <c r="E39" s="355">
        <f>-L38</f>
        <v>0</v>
      </c>
      <c r="F39" s="355"/>
      <c r="G39" s="379">
        <f>+G38</f>
        <v>0</v>
      </c>
      <c r="H39" s="371"/>
      <c r="I39" s="378">
        <f t="shared" ref="I39:I49" si="7" xml:space="preserve"> -G39*E39</f>
        <v>0</v>
      </c>
      <c r="J39" s="378">
        <f>J38</f>
        <v>0</v>
      </c>
      <c r="K39" s="378"/>
      <c r="L39" s="378">
        <f t="shared" ref="L39:L49" si="8">(+E39+E39*G39-J39)*-1</f>
        <v>0</v>
      </c>
      <c r="M39" s="345"/>
      <c r="N39" s="346"/>
    </row>
    <row r="40" spans="1:14" ht="15.75">
      <c r="A40" s="1117">
        <f t="shared" si="0"/>
        <v>35</v>
      </c>
      <c r="B40" s="371" t="s">
        <v>153</v>
      </c>
      <c r="C40" s="438" t="str">
        <f>+C39</f>
        <v>Year 2021</v>
      </c>
      <c r="D40" s="371"/>
      <c r="E40" s="355">
        <f t="shared" ref="E40:E49" si="9">-L39</f>
        <v>0</v>
      </c>
      <c r="F40" s="355"/>
      <c r="G40" s="379">
        <f t="shared" ref="G40:G49" si="10">+G39</f>
        <v>0</v>
      </c>
      <c r="H40" s="371"/>
      <c r="I40" s="378">
        <f t="shared" si="7"/>
        <v>0</v>
      </c>
      <c r="J40" s="378">
        <f t="shared" ref="J40:J49" si="11">J39</f>
        <v>0</v>
      </c>
      <c r="K40" s="378"/>
      <c r="L40" s="378">
        <f t="shared" si="8"/>
        <v>0</v>
      </c>
      <c r="M40" s="345"/>
      <c r="N40" s="346"/>
    </row>
    <row r="41" spans="1:14" ht="15.75">
      <c r="A41" s="1117">
        <f t="shared" si="0"/>
        <v>36</v>
      </c>
      <c r="B41" s="371" t="s">
        <v>133</v>
      </c>
      <c r="C41" s="438" t="str">
        <f>+C40</f>
        <v>Year 2021</v>
      </c>
      <c r="D41" s="371"/>
      <c r="E41" s="355">
        <f t="shared" si="9"/>
        <v>0</v>
      </c>
      <c r="F41" s="355"/>
      <c r="G41" s="379">
        <f t="shared" si="10"/>
        <v>0</v>
      </c>
      <c r="H41" s="371"/>
      <c r="I41" s="378">
        <f t="shared" si="7"/>
        <v>0</v>
      </c>
      <c r="J41" s="378">
        <f t="shared" si="11"/>
        <v>0</v>
      </c>
      <c r="K41" s="378"/>
      <c r="L41" s="378">
        <f t="shared" si="8"/>
        <v>0</v>
      </c>
      <c r="M41" s="345"/>
      <c r="N41" s="346"/>
    </row>
    <row r="42" spans="1:14" ht="15.75">
      <c r="A42" s="1117">
        <f t="shared" si="0"/>
        <v>37</v>
      </c>
      <c r="B42" s="371" t="s">
        <v>130</v>
      </c>
      <c r="C42" s="438" t="str">
        <f>+C41</f>
        <v>Year 2021</v>
      </c>
      <c r="D42" s="371"/>
      <c r="E42" s="355">
        <f t="shared" si="9"/>
        <v>0</v>
      </c>
      <c r="F42" s="355"/>
      <c r="G42" s="379">
        <f t="shared" si="10"/>
        <v>0</v>
      </c>
      <c r="H42" s="371"/>
      <c r="I42" s="378">
        <f t="shared" si="7"/>
        <v>0</v>
      </c>
      <c r="J42" s="378">
        <f t="shared" si="11"/>
        <v>0</v>
      </c>
      <c r="K42" s="378"/>
      <c r="L42" s="378">
        <f t="shared" si="8"/>
        <v>0</v>
      </c>
      <c r="M42" s="345"/>
      <c r="N42" s="346"/>
    </row>
    <row r="43" spans="1:14" ht="15.75">
      <c r="A43" s="1117">
        <f t="shared" si="0"/>
        <v>38</v>
      </c>
      <c r="B43" s="371" t="s">
        <v>261</v>
      </c>
      <c r="C43" s="438" t="str">
        <f>C42</f>
        <v>Year 2021</v>
      </c>
      <c r="D43" s="369"/>
      <c r="E43" s="355">
        <f t="shared" si="9"/>
        <v>0</v>
      </c>
      <c r="F43" s="355"/>
      <c r="G43" s="379">
        <f t="shared" si="10"/>
        <v>0</v>
      </c>
      <c r="H43" s="371"/>
      <c r="I43" s="378">
        <f t="shared" si="7"/>
        <v>0</v>
      </c>
      <c r="J43" s="378">
        <f t="shared" si="11"/>
        <v>0</v>
      </c>
      <c r="K43" s="378"/>
      <c r="L43" s="378">
        <f t="shared" si="8"/>
        <v>0</v>
      </c>
      <c r="M43" s="345"/>
      <c r="N43" s="346"/>
    </row>
    <row r="44" spans="1:14" ht="15.75">
      <c r="A44" s="1117">
        <f t="shared" si="0"/>
        <v>39</v>
      </c>
      <c r="B44" s="371" t="s">
        <v>151</v>
      </c>
      <c r="C44" s="438" t="str">
        <f t="shared" ref="C44:C49" si="12">+C43</f>
        <v>Year 2021</v>
      </c>
      <c r="D44" s="371"/>
      <c r="E44" s="355">
        <f t="shared" si="9"/>
        <v>0</v>
      </c>
      <c r="F44" s="355"/>
      <c r="G44" s="379">
        <f t="shared" si="10"/>
        <v>0</v>
      </c>
      <c r="H44" s="371"/>
      <c r="I44" s="378">
        <f t="shared" si="7"/>
        <v>0</v>
      </c>
      <c r="J44" s="378">
        <f t="shared" si="11"/>
        <v>0</v>
      </c>
      <c r="K44" s="378"/>
      <c r="L44" s="378">
        <f t="shared" si="8"/>
        <v>0</v>
      </c>
      <c r="M44" s="345"/>
      <c r="N44" s="346"/>
    </row>
    <row r="45" spans="1:14" ht="15.75">
      <c r="A45" s="1117">
        <f t="shared" si="0"/>
        <v>40</v>
      </c>
      <c r="B45" s="371" t="s">
        <v>150</v>
      </c>
      <c r="C45" s="438" t="str">
        <f t="shared" si="12"/>
        <v>Year 2021</v>
      </c>
      <c r="D45" s="371"/>
      <c r="E45" s="355">
        <f t="shared" si="9"/>
        <v>0</v>
      </c>
      <c r="F45" s="355"/>
      <c r="G45" s="379">
        <f t="shared" si="10"/>
        <v>0</v>
      </c>
      <c r="H45" s="371"/>
      <c r="I45" s="378">
        <f t="shared" si="7"/>
        <v>0</v>
      </c>
      <c r="J45" s="378">
        <f t="shared" si="11"/>
        <v>0</v>
      </c>
      <c r="K45" s="378"/>
      <c r="L45" s="378">
        <f t="shared" si="8"/>
        <v>0</v>
      </c>
      <c r="M45" s="345"/>
      <c r="N45" s="346"/>
    </row>
    <row r="46" spans="1:14" ht="15.75">
      <c r="A46" s="1117">
        <f t="shared" si="0"/>
        <v>41</v>
      </c>
      <c r="B46" s="371" t="s">
        <v>149</v>
      </c>
      <c r="C46" s="438" t="str">
        <f t="shared" si="12"/>
        <v>Year 2021</v>
      </c>
      <c r="D46" s="371"/>
      <c r="E46" s="355">
        <f t="shared" si="9"/>
        <v>0</v>
      </c>
      <c r="F46" s="355"/>
      <c r="G46" s="379">
        <f t="shared" si="10"/>
        <v>0</v>
      </c>
      <c r="H46" s="371"/>
      <c r="I46" s="378">
        <f t="shared" si="7"/>
        <v>0</v>
      </c>
      <c r="J46" s="378">
        <f t="shared" si="11"/>
        <v>0</v>
      </c>
      <c r="K46" s="378"/>
      <c r="L46" s="378">
        <f t="shared" si="8"/>
        <v>0</v>
      </c>
      <c r="M46" s="345"/>
      <c r="N46" s="346"/>
    </row>
    <row r="47" spans="1:14" ht="15.75">
      <c r="A47" s="1117">
        <f t="shared" si="0"/>
        <v>42</v>
      </c>
      <c r="B47" s="371" t="s">
        <v>160</v>
      </c>
      <c r="C47" s="438" t="str">
        <f t="shared" si="12"/>
        <v>Year 2021</v>
      </c>
      <c r="D47" s="371"/>
      <c r="E47" s="355">
        <f t="shared" si="9"/>
        <v>0</v>
      </c>
      <c r="F47" s="355"/>
      <c r="G47" s="379">
        <f t="shared" si="10"/>
        <v>0</v>
      </c>
      <c r="H47" s="371"/>
      <c r="I47" s="378">
        <f t="shared" si="7"/>
        <v>0</v>
      </c>
      <c r="J47" s="378">
        <f t="shared" si="11"/>
        <v>0</v>
      </c>
      <c r="K47" s="378"/>
      <c r="L47" s="378">
        <f t="shared" si="8"/>
        <v>0</v>
      </c>
      <c r="M47" s="345"/>
      <c r="N47" s="346"/>
    </row>
    <row r="48" spans="1:14" ht="15.75">
      <c r="A48" s="1117">
        <f t="shared" si="0"/>
        <v>43</v>
      </c>
      <c r="B48" s="371" t="s">
        <v>147</v>
      </c>
      <c r="C48" s="438" t="str">
        <f t="shared" si="12"/>
        <v>Year 2021</v>
      </c>
      <c r="D48" s="371"/>
      <c r="E48" s="355">
        <f t="shared" si="9"/>
        <v>0</v>
      </c>
      <c r="F48" s="355"/>
      <c r="G48" s="379">
        <f t="shared" si="10"/>
        <v>0</v>
      </c>
      <c r="H48" s="371"/>
      <c r="I48" s="378">
        <f t="shared" si="7"/>
        <v>0</v>
      </c>
      <c r="J48" s="378">
        <f t="shared" si="11"/>
        <v>0</v>
      </c>
      <c r="K48" s="378"/>
      <c r="L48" s="378">
        <f t="shared" si="8"/>
        <v>0</v>
      </c>
      <c r="M48" s="345"/>
      <c r="N48" s="346"/>
    </row>
    <row r="49" spans="1:14" ht="15.75">
      <c r="A49" s="1117">
        <f t="shared" si="0"/>
        <v>44</v>
      </c>
      <c r="B49" s="371" t="s">
        <v>145</v>
      </c>
      <c r="C49" s="438" t="str">
        <f t="shared" si="12"/>
        <v>Year 2021</v>
      </c>
      <c r="D49" s="371"/>
      <c r="E49" s="355">
        <f t="shared" si="9"/>
        <v>0</v>
      </c>
      <c r="F49" s="355"/>
      <c r="G49" s="379">
        <f t="shared" si="10"/>
        <v>0</v>
      </c>
      <c r="H49" s="371"/>
      <c r="I49" s="366">
        <f t="shared" si="7"/>
        <v>0</v>
      </c>
      <c r="J49" s="378">
        <f t="shared" si="11"/>
        <v>0</v>
      </c>
      <c r="K49" s="378"/>
      <c r="L49" s="378">
        <f t="shared" si="8"/>
        <v>0</v>
      </c>
      <c r="M49" s="345"/>
      <c r="N49" s="346"/>
    </row>
    <row r="50" spans="1:14" ht="15.75">
      <c r="A50" s="1117">
        <f t="shared" si="0"/>
        <v>45</v>
      </c>
      <c r="B50" s="371"/>
      <c r="C50" s="371"/>
      <c r="D50" s="371"/>
      <c r="E50" s="355"/>
      <c r="F50" s="355"/>
      <c r="G50" s="379"/>
      <c r="H50" s="371"/>
      <c r="I50" s="378">
        <f>SUM(I38:I49)</f>
        <v>0</v>
      </c>
      <c r="J50" s="378"/>
      <c r="K50" s="378"/>
      <c r="L50" s="378"/>
      <c r="M50" s="345"/>
      <c r="N50" s="346"/>
    </row>
    <row r="51" spans="1:14">
      <c r="A51" s="1117">
        <f t="shared" si="0"/>
        <v>46</v>
      </c>
      <c r="B51" s="381"/>
      <c r="C51" s="381"/>
      <c r="D51" s="381"/>
      <c r="E51" s="381"/>
      <c r="F51" s="381"/>
      <c r="G51" s="381"/>
      <c r="H51" s="381"/>
      <c r="I51" s="381"/>
      <c r="J51" s="381"/>
      <c r="K51" s="381"/>
      <c r="L51" s="381"/>
      <c r="M51" s="343"/>
    </row>
    <row r="52" spans="1:14" ht="15.75">
      <c r="A52" s="1117">
        <f t="shared" si="0"/>
        <v>47</v>
      </c>
      <c r="B52" s="371" t="s">
        <v>1066</v>
      </c>
      <c r="C52" s="381"/>
      <c r="D52" s="381"/>
      <c r="E52" s="381"/>
      <c r="F52" s="381"/>
      <c r="G52" s="381"/>
      <c r="H52" s="381"/>
      <c r="I52" s="381"/>
      <c r="J52" s="385">
        <f>SUM(J38:J49)*-1</f>
        <v>0</v>
      </c>
      <c r="K52" s="381"/>
      <c r="L52" s="381"/>
      <c r="M52" s="343"/>
    </row>
    <row r="53" spans="1:14" ht="15.75">
      <c r="A53" s="1117">
        <f t="shared" si="0"/>
        <v>48</v>
      </c>
      <c r="B53" s="371" t="s">
        <v>1065</v>
      </c>
      <c r="C53" s="381"/>
      <c r="D53" s="381"/>
      <c r="E53" s="381"/>
      <c r="F53" s="381"/>
      <c r="G53" s="381"/>
      <c r="H53" s="381"/>
      <c r="I53" s="381"/>
      <c r="J53" s="385">
        <f>+H9</f>
        <v>0</v>
      </c>
      <c r="K53" s="381"/>
      <c r="L53" s="381"/>
      <c r="M53" s="343"/>
    </row>
    <row r="54" spans="1:14" ht="15.75">
      <c r="A54" s="1117">
        <f t="shared" si="0"/>
        <v>49</v>
      </c>
      <c r="B54" s="371" t="s">
        <v>266</v>
      </c>
      <c r="C54" s="381"/>
      <c r="D54" s="381"/>
      <c r="E54" s="381"/>
      <c r="F54" s="381"/>
      <c r="G54" s="381"/>
      <c r="H54" s="381"/>
      <c r="I54" s="381"/>
      <c r="J54" s="385">
        <f>(J52+J53)</f>
        <v>0</v>
      </c>
      <c r="K54" s="381"/>
      <c r="L54" s="381"/>
      <c r="M54" s="343"/>
    </row>
    <row r="55" spans="1:14" ht="15.75">
      <c r="A55" s="1117"/>
      <c r="B55" s="371"/>
      <c r="C55" s="381"/>
      <c r="D55" s="381"/>
      <c r="E55" s="381"/>
      <c r="F55" s="381"/>
      <c r="G55" s="381"/>
      <c r="H55" s="381"/>
      <c r="I55" s="381"/>
      <c r="J55" s="385"/>
      <c r="K55" s="381"/>
      <c r="L55" s="381"/>
      <c r="M55" s="343"/>
    </row>
    <row r="56" spans="1:14" ht="15.75">
      <c r="B56" s="371" t="s">
        <v>640</v>
      </c>
    </row>
    <row r="57" spans="1:14" ht="15.75">
      <c r="B57" s="371" t="s">
        <v>1058</v>
      </c>
      <c r="C57" s="367"/>
      <c r="D57" s="367"/>
      <c r="E57" s="367"/>
      <c r="F57" s="367"/>
      <c r="G57" s="593"/>
      <c r="H57" s="367"/>
      <c r="I57" s="367"/>
      <c r="J57" s="594"/>
      <c r="K57" s="367"/>
      <c r="L57" s="367"/>
    </row>
    <row r="58" spans="1:14" ht="15.75">
      <c r="B58" s="371" t="s">
        <v>1060</v>
      </c>
      <c r="C58" s="367"/>
      <c r="D58" s="367"/>
      <c r="E58" s="367"/>
      <c r="F58" s="367"/>
      <c r="G58" s="367"/>
      <c r="H58" s="367"/>
      <c r="I58" s="367"/>
      <c r="J58" s="367"/>
      <c r="K58" s="367"/>
      <c r="L58" s="367"/>
    </row>
    <row r="59" spans="1:14" ht="15.75">
      <c r="B59" s="371" t="s">
        <v>1059</v>
      </c>
      <c r="G59" s="347"/>
      <c r="J59" s="348"/>
    </row>
    <row r="60" spans="1:14" ht="15.75">
      <c r="B60" s="371" t="s">
        <v>1064</v>
      </c>
      <c r="E60" s="349"/>
      <c r="G60" s="347"/>
      <c r="J60" s="348"/>
    </row>
    <row r="61" spans="1:14">
      <c r="J61" s="349"/>
    </row>
    <row r="63" spans="1:14" ht="16.5">
      <c r="B63" s="592"/>
    </row>
  </sheetData>
  <mergeCells count="3">
    <mergeCell ref="B1:L1"/>
    <mergeCell ref="B2:L2"/>
    <mergeCell ref="B3:L3"/>
  </mergeCells>
  <phoneticPr fontId="60" type="noConversion"/>
  <pageMargins left="0.75" right="0.75" top="1" bottom="1" header="0.5" footer="0.5"/>
  <pageSetup scale="4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R421"/>
  <sheetViews>
    <sheetView view="pageBreakPreview" zoomScale="85" zoomScaleNormal="75" zoomScaleSheetLayoutView="85" workbookViewId="0">
      <selection activeCell="B4" sqref="B4:N4"/>
    </sheetView>
  </sheetViews>
  <sheetFormatPr defaultColWidth="8.88671875" defaultRowHeight="12.75"/>
  <cols>
    <col min="1" max="1" width="4.33203125" style="1330" customWidth="1"/>
    <col min="2" max="2" width="21.77734375" style="882" customWidth="1"/>
    <col min="3" max="3" width="2.109375" style="882" customWidth="1"/>
    <col min="4" max="4" width="19.6640625" style="882" customWidth="1"/>
    <col min="5" max="5" width="2.33203125" style="882" customWidth="1"/>
    <col min="6" max="6" width="20.33203125" style="882" customWidth="1"/>
    <col min="7" max="7" width="1.77734375" style="882" customWidth="1"/>
    <col min="8" max="8" width="16.33203125" style="882" customWidth="1"/>
    <col min="9" max="9" width="2.21875" style="882" customWidth="1"/>
    <col min="10" max="10" width="17.21875" style="882" customWidth="1"/>
    <col min="11" max="11" width="2.44140625" style="882" customWidth="1"/>
    <col min="12" max="12" width="17.44140625" style="882" customWidth="1"/>
    <col min="13" max="13" width="2.109375" style="882" customWidth="1"/>
    <col min="14" max="14" width="15.77734375" style="882" customWidth="1"/>
    <col min="15" max="15" width="1.44140625" style="882" customWidth="1"/>
    <col min="16" max="16" width="18.109375" style="882" customWidth="1"/>
    <col min="17" max="18" width="10.77734375" style="882" bestFit="1" customWidth="1"/>
    <col min="19" max="16384" width="8.88671875" style="882"/>
  </cols>
  <sheetData>
    <row r="1" spans="1:17" ht="15" customHeight="1">
      <c r="C1" s="970"/>
      <c r="D1" s="970"/>
      <c r="E1" s="970"/>
      <c r="F1" s="970"/>
      <c r="G1" s="970"/>
      <c r="H1" s="970" t="s">
        <v>594</v>
      </c>
      <c r="I1" s="970"/>
      <c r="J1" s="970"/>
      <c r="K1" s="970" t="s">
        <v>599</v>
      </c>
      <c r="L1" s="883"/>
      <c r="M1" s="995"/>
      <c r="N1" s="1146"/>
      <c r="Q1" s="883"/>
    </row>
    <row r="2" spans="1:17" ht="15" customHeight="1">
      <c r="B2" s="1749" t="s">
        <v>592</v>
      </c>
      <c r="C2" s="1749"/>
      <c r="D2" s="1749"/>
      <c r="E2" s="1749"/>
      <c r="F2" s="1749"/>
      <c r="G2" s="1749"/>
      <c r="H2" s="1749"/>
      <c r="I2" s="1749"/>
      <c r="J2" s="1749"/>
      <c r="K2" s="1749"/>
      <c r="L2" s="1749"/>
      <c r="M2" s="1749"/>
      <c r="N2" s="1749"/>
      <c r="O2" s="1749"/>
      <c r="P2" s="1749"/>
      <c r="Q2" s="883"/>
    </row>
    <row r="3" spans="1:17" ht="15" customHeight="1">
      <c r="B3" s="1750" t="str">
        <f>+'Appendix III'!E8</f>
        <v>MidAmerican Central California Transco, LLC</v>
      </c>
      <c r="C3" s="1750"/>
      <c r="D3" s="1750"/>
      <c r="E3" s="1750"/>
      <c r="F3" s="1750"/>
      <c r="G3" s="1750"/>
      <c r="H3" s="1750"/>
      <c r="I3" s="1750"/>
      <c r="J3" s="1750"/>
      <c r="K3" s="1750"/>
      <c r="L3" s="1750"/>
      <c r="M3" s="1750"/>
      <c r="N3" s="1750"/>
      <c r="O3" s="1750"/>
      <c r="P3" s="1750"/>
      <c r="Q3" s="883"/>
    </row>
    <row r="4" spans="1:17">
      <c r="B4" s="1746"/>
      <c r="C4" s="1746"/>
      <c r="D4" s="1746"/>
      <c r="E4" s="1746"/>
      <c r="F4" s="1746"/>
      <c r="G4" s="1746"/>
      <c r="H4" s="1746"/>
      <c r="I4" s="1746"/>
      <c r="J4" s="1746"/>
      <c r="K4" s="1746"/>
      <c r="L4" s="1746"/>
      <c r="M4" s="1746"/>
      <c r="N4" s="1746"/>
      <c r="O4" s="925"/>
      <c r="P4" s="925"/>
      <c r="Q4" s="883"/>
    </row>
    <row r="5" spans="1:17" ht="28.5" customHeight="1">
      <c r="A5" s="1331">
        <v>1</v>
      </c>
      <c r="B5" s="1755" t="s">
        <v>1036</v>
      </c>
      <c r="C5" s="1755"/>
      <c r="D5" s="1755"/>
      <c r="E5" s="1755"/>
      <c r="F5" s="1755"/>
      <c r="G5" s="1755"/>
      <c r="H5" s="1755"/>
      <c r="I5" s="1755"/>
      <c r="J5" s="1755"/>
      <c r="K5" s="1755"/>
      <c r="L5" s="1755"/>
      <c r="M5" s="1755"/>
      <c r="N5" s="1755"/>
      <c r="O5" s="1755"/>
      <c r="P5" s="1755"/>
      <c r="Q5" s="883"/>
    </row>
    <row r="6" spans="1:17" ht="14.25" thickBot="1">
      <c r="A6" s="1331">
        <f>+A5+1</f>
        <v>2</v>
      </c>
      <c r="B6" s="961"/>
      <c r="C6" s="932"/>
      <c r="D6" s="932"/>
      <c r="E6" s="932"/>
      <c r="F6" s="932"/>
      <c r="G6" s="932"/>
      <c r="H6" s="932"/>
      <c r="I6" s="932"/>
      <c r="J6" s="932"/>
      <c r="K6" s="932"/>
      <c r="L6" s="932"/>
      <c r="M6" s="932"/>
      <c r="N6" s="932"/>
      <c r="O6" s="925"/>
      <c r="P6" s="925"/>
      <c r="Q6" s="883"/>
    </row>
    <row r="7" spans="1:17">
      <c r="A7" s="1331">
        <f t="shared" ref="A7:A70" si="0">+A6+1</f>
        <v>3</v>
      </c>
      <c r="B7" s="1752" t="s">
        <v>280</v>
      </c>
      <c r="C7" s="1753"/>
      <c r="D7" s="1753"/>
      <c r="E7" s="1753"/>
      <c r="F7" s="1753"/>
      <c r="G7" s="1753"/>
      <c r="H7" s="1753"/>
      <c r="I7" s="1753"/>
      <c r="J7" s="1753"/>
      <c r="K7" s="1753"/>
      <c r="L7" s="1753"/>
      <c r="M7" s="1753"/>
      <c r="N7" s="1753"/>
      <c r="O7" s="1753"/>
      <c r="P7" s="1754"/>
      <c r="Q7" s="883"/>
    </row>
    <row r="8" spans="1:17">
      <c r="A8" s="1331">
        <f t="shared" si="0"/>
        <v>4</v>
      </c>
      <c r="B8" s="960" t="s">
        <v>459</v>
      </c>
      <c r="C8" s="959"/>
      <c r="D8" s="959" t="s">
        <v>591</v>
      </c>
      <c r="E8" s="959"/>
      <c r="F8" s="959" t="s">
        <v>590</v>
      </c>
      <c r="G8" s="909"/>
      <c r="H8" s="909" t="s">
        <v>589</v>
      </c>
      <c r="I8" s="909"/>
      <c r="J8" s="909" t="s">
        <v>588</v>
      </c>
      <c r="K8" s="909"/>
      <c r="L8" s="909" t="s">
        <v>587</v>
      </c>
      <c r="M8" s="909"/>
      <c r="N8" s="909" t="s">
        <v>586</v>
      </c>
      <c r="O8" s="909"/>
      <c r="P8" s="958" t="s">
        <v>585</v>
      </c>
      <c r="Q8" s="883"/>
    </row>
    <row r="9" spans="1:17" ht="84.75" customHeight="1">
      <c r="A9" s="1331">
        <f t="shared" si="0"/>
        <v>5</v>
      </c>
      <c r="B9" s="1491" t="s">
        <v>279</v>
      </c>
      <c r="C9" s="1488"/>
      <c r="D9" s="1492" t="s">
        <v>1024</v>
      </c>
      <c r="E9" s="1493"/>
      <c r="F9" s="1492" t="s">
        <v>954</v>
      </c>
      <c r="G9" s="957"/>
      <c r="H9" s="1492" t="s">
        <v>1025</v>
      </c>
      <c r="I9" s="956"/>
      <c r="J9" s="1492" t="s">
        <v>752</v>
      </c>
      <c r="K9" s="956"/>
      <c r="L9" s="1492" t="s">
        <v>584</v>
      </c>
      <c r="M9" s="890"/>
      <c r="N9" s="1492" t="s">
        <v>1030</v>
      </c>
      <c r="O9" s="892"/>
      <c r="P9" s="1494" t="s">
        <v>583</v>
      </c>
      <c r="Q9" s="883"/>
    </row>
    <row r="10" spans="1:17">
      <c r="A10" s="1331">
        <f t="shared" si="0"/>
        <v>6</v>
      </c>
      <c r="B10" s="1147"/>
      <c r="C10" s="955"/>
      <c r="D10" s="1152"/>
      <c r="E10" s="919"/>
      <c r="F10" s="1152"/>
      <c r="G10" s="892"/>
      <c r="H10" s="1154"/>
      <c r="I10" s="954"/>
      <c r="J10" s="1154"/>
      <c r="K10" s="892"/>
      <c r="L10" s="947">
        <f>H10-J10</f>
        <v>0</v>
      </c>
      <c r="M10" s="919"/>
      <c r="N10" s="1156"/>
      <c r="O10" s="892"/>
      <c r="P10" s="946">
        <f>N70</f>
        <v>0</v>
      </c>
      <c r="Q10" s="883"/>
    </row>
    <row r="11" spans="1:17">
      <c r="A11" s="1331">
        <f t="shared" si="0"/>
        <v>7</v>
      </c>
      <c r="B11" s="1148"/>
      <c r="C11" s="952"/>
      <c r="D11" s="1153"/>
      <c r="E11" s="892"/>
      <c r="F11" s="1152"/>
      <c r="G11" s="892"/>
      <c r="H11" s="1155"/>
      <c r="I11" s="892"/>
      <c r="J11" s="1155"/>
      <c r="K11" s="892"/>
      <c r="L11" s="947">
        <f>H11-J11</f>
        <v>0</v>
      </c>
      <c r="M11" s="892"/>
      <c r="N11" s="1156"/>
      <c r="O11" s="892"/>
      <c r="P11" s="946">
        <f>N119</f>
        <v>0</v>
      </c>
      <c r="Q11" s="883"/>
    </row>
    <row r="12" spans="1:17">
      <c r="A12" s="1331">
        <f t="shared" si="0"/>
        <v>8</v>
      </c>
      <c r="B12" s="1148"/>
      <c r="C12" s="952"/>
      <c r="D12" s="1153"/>
      <c r="E12" s="892"/>
      <c r="F12" s="1152"/>
      <c r="G12" s="892"/>
      <c r="H12" s="1155"/>
      <c r="I12" s="892"/>
      <c r="J12" s="1155"/>
      <c r="K12" s="892"/>
      <c r="L12" s="947">
        <f>H12-J12</f>
        <v>0</v>
      </c>
      <c r="M12" s="892"/>
      <c r="N12" s="1156"/>
      <c r="O12" s="892"/>
      <c r="P12" s="946">
        <f>N163</f>
        <v>0</v>
      </c>
      <c r="Q12" s="883"/>
    </row>
    <row r="13" spans="1:17">
      <c r="A13" s="1331">
        <f t="shared" si="0"/>
        <v>9</v>
      </c>
      <c r="B13" s="1148"/>
      <c r="C13" s="952"/>
      <c r="D13" s="1153"/>
      <c r="E13" s="892"/>
      <c r="F13" s="1152"/>
      <c r="G13" s="892"/>
      <c r="H13" s="892"/>
      <c r="I13" s="892"/>
      <c r="J13" s="892"/>
      <c r="K13" s="892"/>
      <c r="L13" s="947"/>
      <c r="M13" s="892"/>
      <c r="N13" s="945"/>
      <c r="O13" s="892"/>
      <c r="P13" s="946"/>
      <c r="Q13" s="883"/>
    </row>
    <row r="14" spans="1:17">
      <c r="A14" s="1331">
        <f t="shared" si="0"/>
        <v>10</v>
      </c>
      <c r="B14" s="950"/>
      <c r="C14" s="952"/>
      <c r="D14" s="953"/>
      <c r="E14" s="892"/>
      <c r="F14" s="948"/>
      <c r="G14" s="892"/>
      <c r="H14" s="892"/>
      <c r="I14" s="892"/>
      <c r="J14" s="892"/>
      <c r="K14" s="892"/>
      <c r="L14" s="947"/>
      <c r="M14" s="892"/>
      <c r="N14" s="945"/>
      <c r="O14" s="892"/>
      <c r="P14" s="946"/>
      <c r="Q14" s="883"/>
    </row>
    <row r="15" spans="1:17">
      <c r="A15" s="1331">
        <f t="shared" si="0"/>
        <v>11</v>
      </c>
      <c r="B15" s="950"/>
      <c r="C15" s="952"/>
      <c r="D15" s="949"/>
      <c r="E15" s="892"/>
      <c r="F15" s="948"/>
      <c r="G15" s="892"/>
      <c r="H15" s="892"/>
      <c r="I15" s="892"/>
      <c r="J15" s="892"/>
      <c r="K15" s="892"/>
      <c r="L15" s="947"/>
      <c r="M15" s="892"/>
      <c r="N15" s="945"/>
      <c r="O15" s="892"/>
      <c r="P15" s="951"/>
      <c r="Q15" s="883"/>
    </row>
    <row r="16" spans="1:17">
      <c r="A16" s="1331">
        <f t="shared" si="0"/>
        <v>12</v>
      </c>
      <c r="B16" s="950"/>
      <c r="C16" s="892"/>
      <c r="D16" s="949"/>
      <c r="E16" s="892"/>
      <c r="F16" s="948"/>
      <c r="G16" s="892"/>
      <c r="H16" s="892"/>
      <c r="I16" s="892"/>
      <c r="J16" s="892"/>
      <c r="K16" s="892"/>
      <c r="L16" s="947"/>
      <c r="M16" s="892"/>
      <c r="N16" s="945"/>
      <c r="O16" s="892"/>
      <c r="P16" s="946">
        <f>SUM(P10:P15)</f>
        <v>0</v>
      </c>
      <c r="Q16" s="883"/>
    </row>
    <row r="17" spans="1:17" ht="13.5">
      <c r="A17" s="1331">
        <f t="shared" si="0"/>
        <v>13</v>
      </c>
      <c r="B17" s="943" t="s">
        <v>375</v>
      </c>
      <c r="C17" s="892"/>
      <c r="D17" s="892"/>
      <c r="E17" s="892"/>
      <c r="F17" s="892"/>
      <c r="G17" s="892"/>
      <c r="H17" s="892"/>
      <c r="I17" s="892"/>
      <c r="J17" s="892"/>
      <c r="K17" s="892"/>
      <c r="L17" s="892"/>
      <c r="M17" s="892"/>
      <c r="N17" s="945"/>
      <c r="O17" s="892"/>
      <c r="P17" s="939"/>
      <c r="Q17" s="883"/>
    </row>
    <row r="18" spans="1:17" ht="13.5">
      <c r="A18" s="1331">
        <f t="shared" si="0"/>
        <v>14</v>
      </c>
      <c r="B18" s="943" t="s">
        <v>596</v>
      </c>
      <c r="C18" s="892"/>
      <c r="D18" s="892"/>
      <c r="E18" s="892"/>
      <c r="F18" s="892"/>
      <c r="G18" s="892"/>
      <c r="H18" s="892"/>
      <c r="I18" s="892"/>
      <c r="J18" s="892"/>
      <c r="K18" s="892"/>
      <c r="L18" s="892"/>
      <c r="M18" s="892"/>
      <c r="N18" s="892"/>
      <c r="O18" s="892"/>
      <c r="P18" s="939"/>
      <c r="Q18" s="883"/>
    </row>
    <row r="19" spans="1:17" ht="13.5">
      <c r="A19" s="1331">
        <f t="shared" si="0"/>
        <v>15</v>
      </c>
      <c r="B19" s="943"/>
      <c r="C19" s="892"/>
      <c r="D19" s="892"/>
      <c r="E19" s="892"/>
      <c r="F19" s="892"/>
      <c r="G19" s="892"/>
      <c r="H19" s="892"/>
      <c r="I19" s="892"/>
      <c r="J19" s="892"/>
      <c r="K19" s="892"/>
      <c r="L19" s="892"/>
      <c r="M19" s="892"/>
      <c r="N19" s="892"/>
      <c r="O19" s="892"/>
      <c r="P19" s="939"/>
      <c r="Q19" s="883"/>
    </row>
    <row r="20" spans="1:17" ht="13.5">
      <c r="A20" s="1331">
        <f t="shared" si="0"/>
        <v>16</v>
      </c>
      <c r="B20" s="944"/>
      <c r="C20" s="892"/>
      <c r="D20" s="892"/>
      <c r="E20" s="892"/>
      <c r="F20" s="892"/>
      <c r="G20" s="892"/>
      <c r="H20" s="892"/>
      <c r="I20" s="892"/>
      <c r="J20" s="892"/>
      <c r="K20" s="892"/>
      <c r="L20" s="892"/>
      <c r="M20" s="892"/>
      <c r="N20" s="892"/>
      <c r="O20" s="892"/>
      <c r="P20" s="939"/>
      <c r="Q20" s="883"/>
    </row>
    <row r="21" spans="1:17" ht="13.5">
      <c r="A21" s="1331">
        <f t="shared" si="0"/>
        <v>17</v>
      </c>
      <c r="B21" s="943"/>
      <c r="C21" s="892"/>
      <c r="D21" s="892"/>
      <c r="E21" s="892"/>
      <c r="F21" s="892"/>
      <c r="G21" s="892"/>
      <c r="H21" s="892"/>
      <c r="I21" s="892"/>
      <c r="J21" s="892"/>
      <c r="K21" s="892"/>
      <c r="L21" s="892"/>
      <c r="M21" s="892"/>
      <c r="N21" s="892"/>
      <c r="O21" s="892"/>
      <c r="P21" s="939"/>
      <c r="Q21" s="883"/>
    </row>
    <row r="22" spans="1:17">
      <c r="A22" s="1331">
        <f t="shared" si="0"/>
        <v>18</v>
      </c>
      <c r="B22" s="942"/>
      <c r="C22" s="941"/>
      <c r="D22" s="919"/>
      <c r="E22" s="892"/>
      <c r="F22" s="892"/>
      <c r="G22" s="892"/>
      <c r="H22" s="892"/>
      <c r="I22" s="892"/>
      <c r="J22" s="892"/>
      <c r="K22" s="892"/>
      <c r="L22" s="892"/>
      <c r="M22" s="892"/>
      <c r="N22" s="892"/>
      <c r="O22" s="892"/>
      <c r="P22" s="939"/>
      <c r="Q22" s="883"/>
    </row>
    <row r="23" spans="1:17">
      <c r="A23" s="1331">
        <f t="shared" si="0"/>
        <v>19</v>
      </c>
      <c r="B23" s="940"/>
      <c r="C23" s="898"/>
      <c r="D23" s="908"/>
      <c r="E23" s="908"/>
      <c r="F23" s="898"/>
      <c r="G23" s="898"/>
      <c r="H23" s="908"/>
      <c r="I23" s="908"/>
      <c r="J23" s="898"/>
      <c r="K23" s="898"/>
      <c r="L23" s="892"/>
      <c r="M23" s="892"/>
      <c r="N23" s="892"/>
      <c r="O23" s="892"/>
      <c r="P23" s="939"/>
      <c r="Q23" s="883"/>
    </row>
    <row r="24" spans="1:17" ht="13.5" thickBot="1">
      <c r="A24" s="1331">
        <f t="shared" si="0"/>
        <v>20</v>
      </c>
      <c r="B24" s="938"/>
      <c r="C24" s="936"/>
      <c r="D24" s="937"/>
      <c r="E24" s="937"/>
      <c r="F24" s="936"/>
      <c r="G24" s="936"/>
      <c r="H24" s="937"/>
      <c r="I24" s="937"/>
      <c r="J24" s="936"/>
      <c r="K24" s="936"/>
      <c r="L24" s="935"/>
      <c r="M24" s="935"/>
      <c r="N24" s="935"/>
      <c r="O24" s="935"/>
      <c r="P24" s="934"/>
      <c r="Q24" s="883"/>
    </row>
    <row r="25" spans="1:17" ht="35.25" customHeight="1">
      <c r="A25" s="1331">
        <f t="shared" si="0"/>
        <v>21</v>
      </c>
      <c r="B25" s="1751" t="s">
        <v>281</v>
      </c>
      <c r="C25" s="1751"/>
      <c r="D25" s="1751"/>
      <c r="E25" s="1751"/>
      <c r="F25" s="1751"/>
      <c r="G25" s="1751"/>
      <c r="H25" s="1751"/>
      <c r="I25" s="1751"/>
      <c r="J25" s="1751"/>
      <c r="K25" s="1751"/>
      <c r="L25" s="1751"/>
      <c r="M25" s="1751"/>
      <c r="N25" s="1751"/>
      <c r="O25" s="1751"/>
      <c r="P25" s="1751"/>
      <c r="Q25" s="883"/>
    </row>
    <row r="26" spans="1:17" ht="53.25" customHeight="1">
      <c r="A26" s="1331">
        <f t="shared" si="0"/>
        <v>22</v>
      </c>
      <c r="B26" s="929" t="s">
        <v>282</v>
      </c>
      <c r="C26" s="929"/>
      <c r="D26" s="1489"/>
      <c r="E26" s="1489"/>
      <c r="F26" s="933" t="s">
        <v>595</v>
      </c>
      <c r="G26" s="924"/>
      <c r="H26" s="933" t="s">
        <v>376</v>
      </c>
      <c r="I26" s="933"/>
      <c r="J26" s="1487" t="s">
        <v>255</v>
      </c>
      <c r="K26" s="1487"/>
      <c r="L26" s="931" t="s">
        <v>256</v>
      </c>
      <c r="M26" s="931"/>
      <c r="N26" s="933" t="s">
        <v>257</v>
      </c>
      <c r="O26" s="930"/>
      <c r="P26" s="933" t="s">
        <v>258</v>
      </c>
      <c r="Q26" s="883"/>
    </row>
    <row r="27" spans="1:17">
      <c r="A27" s="1331">
        <f t="shared" si="0"/>
        <v>23</v>
      </c>
      <c r="B27" s="929"/>
      <c r="C27" s="929"/>
      <c r="D27" s="926"/>
      <c r="E27" s="926"/>
      <c r="F27" s="925"/>
      <c r="G27" s="928"/>
      <c r="H27" s="928"/>
      <c r="I27" s="928"/>
      <c r="J27" s="924"/>
      <c r="K27" s="924"/>
      <c r="L27" s="925"/>
      <c r="M27" s="925"/>
      <c r="N27" s="925"/>
      <c r="O27" s="925"/>
      <c r="P27" s="925"/>
      <c r="Q27" s="883"/>
    </row>
    <row r="28" spans="1:17">
      <c r="A28" s="1331">
        <f t="shared" si="0"/>
        <v>24</v>
      </c>
      <c r="B28" s="927" t="s">
        <v>7</v>
      </c>
      <c r="C28" s="927"/>
      <c r="D28" s="926"/>
      <c r="E28" s="926"/>
      <c r="F28" s="926"/>
      <c r="G28" s="926"/>
      <c r="H28" s="926" t="s">
        <v>7</v>
      </c>
      <c r="I28" s="926"/>
      <c r="J28" s="925"/>
      <c r="K28" s="925"/>
      <c r="L28" s="925"/>
      <c r="M28" s="925"/>
      <c r="N28" s="925"/>
      <c r="O28" s="925"/>
      <c r="P28" s="925"/>
      <c r="Q28" s="883"/>
    </row>
    <row r="29" spans="1:17">
      <c r="A29" s="1331">
        <f t="shared" si="0"/>
        <v>25</v>
      </c>
      <c r="B29" s="918" t="s">
        <v>593</v>
      </c>
      <c r="C29" s="917"/>
      <c r="D29" s="914"/>
      <c r="E29" s="914"/>
      <c r="F29" s="914"/>
      <c r="G29" s="914"/>
      <c r="H29" s="916"/>
      <c r="I29" s="916"/>
      <c r="J29" s="916"/>
      <c r="K29" s="916"/>
      <c r="L29" s="915"/>
      <c r="M29" s="915"/>
      <c r="N29" s="914"/>
      <c r="O29" s="914"/>
      <c r="P29" s="913"/>
      <c r="Q29" s="883"/>
    </row>
    <row r="30" spans="1:17">
      <c r="A30" s="1331">
        <f t="shared" si="0"/>
        <v>26</v>
      </c>
      <c r="B30" s="912"/>
      <c r="C30" s="910"/>
      <c r="D30" s="908"/>
      <c r="E30" s="908"/>
      <c r="F30" s="908"/>
      <c r="G30" s="908"/>
      <c r="H30" s="892"/>
      <c r="I30" s="892"/>
      <c r="J30" s="892"/>
      <c r="K30" s="892"/>
      <c r="L30" s="909" t="s">
        <v>260</v>
      </c>
      <c r="M30" s="909"/>
      <c r="N30" s="908"/>
      <c r="O30" s="908"/>
      <c r="P30" s="907"/>
      <c r="Q30" s="883"/>
    </row>
    <row r="31" spans="1:17">
      <c r="A31" s="1331">
        <f t="shared" si="0"/>
        <v>27</v>
      </c>
      <c r="B31" s="911"/>
      <c r="C31" s="910"/>
      <c r="D31" s="908"/>
      <c r="E31" s="908"/>
      <c r="F31" s="908"/>
      <c r="G31" s="908"/>
      <c r="H31" s="892"/>
      <c r="I31" s="892"/>
      <c r="J31" s="892"/>
      <c r="K31" s="892"/>
      <c r="L31" s="909"/>
      <c r="M31" s="909"/>
      <c r="N31" s="908"/>
      <c r="O31" s="908"/>
      <c r="P31" s="907"/>
      <c r="Q31" s="883"/>
    </row>
    <row r="32" spans="1:17">
      <c r="A32" s="1331">
        <f t="shared" si="0"/>
        <v>28</v>
      </c>
      <c r="B32" s="893" t="s">
        <v>155</v>
      </c>
      <c r="C32" s="892"/>
      <c r="D32" s="962">
        <f>+B10</f>
        <v>0</v>
      </c>
      <c r="E32" s="892"/>
      <c r="F32" s="896">
        <f>+L10/12</f>
        <v>0</v>
      </c>
      <c r="G32" s="896"/>
      <c r="H32" s="897">
        <f>N10</f>
        <v>0</v>
      </c>
      <c r="I32" s="897"/>
      <c r="J32" s="905">
        <v>12</v>
      </c>
      <c r="K32" s="892"/>
      <c r="L32" s="896">
        <f t="shared" ref="L32:L43" si="1">H32*F32*J32*-1</f>
        <v>0</v>
      </c>
      <c r="M32" s="896"/>
      <c r="N32" s="896"/>
      <c r="O32" s="896"/>
      <c r="P32" s="895">
        <f t="shared" ref="P32:P43" si="2">(-L32+F32)*-1</f>
        <v>0</v>
      </c>
      <c r="Q32" s="883"/>
    </row>
    <row r="33" spans="1:17">
      <c r="A33" s="1331">
        <f t="shared" si="0"/>
        <v>29</v>
      </c>
      <c r="B33" s="893" t="s">
        <v>154</v>
      </c>
      <c r="C33" s="892"/>
      <c r="D33" s="962">
        <f>+D32</f>
        <v>0</v>
      </c>
      <c r="E33" s="892"/>
      <c r="F33" s="896">
        <f t="shared" ref="F33:F43" si="3">+F32</f>
        <v>0</v>
      </c>
      <c r="G33" s="896"/>
      <c r="H33" s="897">
        <f t="shared" ref="H33:H43" si="4">+H32</f>
        <v>0</v>
      </c>
      <c r="I33" s="897"/>
      <c r="J33" s="906">
        <f t="shared" ref="J33:J43" si="5">+J32-1</f>
        <v>11</v>
      </c>
      <c r="K33" s="890"/>
      <c r="L33" s="896">
        <f t="shared" si="1"/>
        <v>0</v>
      </c>
      <c r="M33" s="896"/>
      <c r="N33" s="896"/>
      <c r="O33" s="896"/>
      <c r="P33" s="895">
        <f t="shared" si="2"/>
        <v>0</v>
      </c>
      <c r="Q33" s="883"/>
    </row>
    <row r="34" spans="1:17">
      <c r="A34" s="1331">
        <f t="shared" si="0"/>
        <v>30</v>
      </c>
      <c r="B34" s="893" t="s">
        <v>153</v>
      </c>
      <c r="C34" s="892"/>
      <c r="D34" s="962">
        <f t="shared" ref="D34:D43" si="6">+D33</f>
        <v>0</v>
      </c>
      <c r="E34" s="892"/>
      <c r="F34" s="896">
        <f t="shared" si="3"/>
        <v>0</v>
      </c>
      <c r="G34" s="896"/>
      <c r="H34" s="897">
        <f t="shared" si="4"/>
        <v>0</v>
      </c>
      <c r="I34" s="897"/>
      <c r="J34" s="906">
        <f t="shared" si="5"/>
        <v>10</v>
      </c>
      <c r="K34" s="890"/>
      <c r="L34" s="896">
        <f t="shared" si="1"/>
        <v>0</v>
      </c>
      <c r="M34" s="896"/>
      <c r="N34" s="896"/>
      <c r="O34" s="896"/>
      <c r="P34" s="895">
        <f t="shared" si="2"/>
        <v>0</v>
      </c>
      <c r="Q34" s="883"/>
    </row>
    <row r="35" spans="1:17">
      <c r="A35" s="1331">
        <f t="shared" si="0"/>
        <v>31</v>
      </c>
      <c r="B35" s="893" t="s">
        <v>133</v>
      </c>
      <c r="C35" s="892"/>
      <c r="D35" s="962">
        <f t="shared" si="6"/>
        <v>0</v>
      </c>
      <c r="E35" s="892"/>
      <c r="F35" s="896">
        <f t="shared" si="3"/>
        <v>0</v>
      </c>
      <c r="G35" s="896"/>
      <c r="H35" s="897">
        <f t="shared" si="4"/>
        <v>0</v>
      </c>
      <c r="I35" s="897"/>
      <c r="J35" s="906">
        <f t="shared" si="5"/>
        <v>9</v>
      </c>
      <c r="K35" s="890"/>
      <c r="L35" s="896">
        <f t="shared" si="1"/>
        <v>0</v>
      </c>
      <c r="M35" s="896"/>
      <c r="N35" s="896"/>
      <c r="O35" s="896"/>
      <c r="P35" s="895">
        <f t="shared" si="2"/>
        <v>0</v>
      </c>
      <c r="Q35" s="883"/>
    </row>
    <row r="36" spans="1:17">
      <c r="A36" s="1331">
        <f t="shared" si="0"/>
        <v>32</v>
      </c>
      <c r="B36" s="893" t="s">
        <v>130</v>
      </c>
      <c r="C36" s="892"/>
      <c r="D36" s="962">
        <f t="shared" si="6"/>
        <v>0</v>
      </c>
      <c r="E36" s="892"/>
      <c r="F36" s="896">
        <f t="shared" si="3"/>
        <v>0</v>
      </c>
      <c r="G36" s="896"/>
      <c r="H36" s="897">
        <f t="shared" si="4"/>
        <v>0</v>
      </c>
      <c r="I36" s="897"/>
      <c r="J36" s="906">
        <f t="shared" si="5"/>
        <v>8</v>
      </c>
      <c r="K36" s="890"/>
      <c r="L36" s="896">
        <f t="shared" si="1"/>
        <v>0</v>
      </c>
      <c r="M36" s="896"/>
      <c r="N36" s="896"/>
      <c r="O36" s="896"/>
      <c r="P36" s="895">
        <f t="shared" si="2"/>
        <v>0</v>
      </c>
      <c r="Q36" s="883"/>
    </row>
    <row r="37" spans="1:17">
      <c r="A37" s="1331">
        <f t="shared" si="0"/>
        <v>33</v>
      </c>
      <c r="B37" s="893" t="s">
        <v>261</v>
      </c>
      <c r="C37" s="892"/>
      <c r="D37" s="962">
        <f t="shared" si="6"/>
        <v>0</v>
      </c>
      <c r="E37" s="892"/>
      <c r="F37" s="896">
        <f t="shared" si="3"/>
        <v>0</v>
      </c>
      <c r="G37" s="896"/>
      <c r="H37" s="897">
        <f t="shared" si="4"/>
        <v>0</v>
      </c>
      <c r="I37" s="897"/>
      <c r="J37" s="906">
        <f t="shared" si="5"/>
        <v>7</v>
      </c>
      <c r="K37" s="890"/>
      <c r="L37" s="896">
        <f t="shared" si="1"/>
        <v>0</v>
      </c>
      <c r="M37" s="896"/>
      <c r="N37" s="896"/>
      <c r="O37" s="896"/>
      <c r="P37" s="895">
        <f t="shared" si="2"/>
        <v>0</v>
      </c>
      <c r="Q37" s="883"/>
    </row>
    <row r="38" spans="1:17">
      <c r="A38" s="1331">
        <f t="shared" si="0"/>
        <v>34</v>
      </c>
      <c r="B38" s="893" t="s">
        <v>151</v>
      </c>
      <c r="C38" s="892"/>
      <c r="D38" s="962">
        <f t="shared" si="6"/>
        <v>0</v>
      </c>
      <c r="E38" s="892"/>
      <c r="F38" s="896">
        <f t="shared" si="3"/>
        <v>0</v>
      </c>
      <c r="G38" s="896"/>
      <c r="H38" s="897">
        <f t="shared" si="4"/>
        <v>0</v>
      </c>
      <c r="I38" s="897"/>
      <c r="J38" s="906">
        <f t="shared" si="5"/>
        <v>6</v>
      </c>
      <c r="K38" s="890"/>
      <c r="L38" s="896">
        <f t="shared" si="1"/>
        <v>0</v>
      </c>
      <c r="M38" s="896"/>
      <c r="N38" s="896"/>
      <c r="O38" s="896"/>
      <c r="P38" s="895">
        <f t="shared" si="2"/>
        <v>0</v>
      </c>
      <c r="Q38" s="883"/>
    </row>
    <row r="39" spans="1:17">
      <c r="A39" s="1331">
        <f t="shared" si="0"/>
        <v>35</v>
      </c>
      <c r="B39" s="893" t="s">
        <v>150</v>
      </c>
      <c r="C39" s="892"/>
      <c r="D39" s="962">
        <f t="shared" si="6"/>
        <v>0</v>
      </c>
      <c r="E39" s="892"/>
      <c r="F39" s="896">
        <f t="shared" si="3"/>
        <v>0</v>
      </c>
      <c r="G39" s="896"/>
      <c r="H39" s="897">
        <f t="shared" si="4"/>
        <v>0</v>
      </c>
      <c r="I39" s="897"/>
      <c r="J39" s="906">
        <f t="shared" si="5"/>
        <v>5</v>
      </c>
      <c r="K39" s="890"/>
      <c r="L39" s="896">
        <f t="shared" si="1"/>
        <v>0</v>
      </c>
      <c r="M39" s="896"/>
      <c r="N39" s="896"/>
      <c r="O39" s="896"/>
      <c r="P39" s="895">
        <f t="shared" si="2"/>
        <v>0</v>
      </c>
      <c r="Q39" s="883"/>
    </row>
    <row r="40" spans="1:17">
      <c r="A40" s="1331">
        <f t="shared" si="0"/>
        <v>36</v>
      </c>
      <c r="B40" s="893" t="s">
        <v>149</v>
      </c>
      <c r="C40" s="892"/>
      <c r="D40" s="962">
        <f t="shared" si="6"/>
        <v>0</v>
      </c>
      <c r="E40" s="892"/>
      <c r="F40" s="896">
        <f t="shared" si="3"/>
        <v>0</v>
      </c>
      <c r="G40" s="896"/>
      <c r="H40" s="897">
        <f t="shared" si="4"/>
        <v>0</v>
      </c>
      <c r="I40" s="897"/>
      <c r="J40" s="906">
        <f t="shared" si="5"/>
        <v>4</v>
      </c>
      <c r="K40" s="890"/>
      <c r="L40" s="896">
        <f t="shared" si="1"/>
        <v>0</v>
      </c>
      <c r="M40" s="896"/>
      <c r="N40" s="896"/>
      <c r="O40" s="896"/>
      <c r="P40" s="895">
        <f t="shared" si="2"/>
        <v>0</v>
      </c>
      <c r="Q40" s="883"/>
    </row>
    <row r="41" spans="1:17">
      <c r="A41" s="1331">
        <f t="shared" si="0"/>
        <v>37</v>
      </c>
      <c r="B41" s="893" t="s">
        <v>160</v>
      </c>
      <c r="C41" s="892"/>
      <c r="D41" s="962">
        <f t="shared" si="6"/>
        <v>0</v>
      </c>
      <c r="E41" s="892"/>
      <c r="F41" s="896">
        <f t="shared" si="3"/>
        <v>0</v>
      </c>
      <c r="G41" s="896"/>
      <c r="H41" s="897">
        <f t="shared" si="4"/>
        <v>0</v>
      </c>
      <c r="I41" s="897"/>
      <c r="J41" s="906">
        <f t="shared" si="5"/>
        <v>3</v>
      </c>
      <c r="K41" s="890"/>
      <c r="L41" s="896">
        <f t="shared" si="1"/>
        <v>0</v>
      </c>
      <c r="M41" s="896"/>
      <c r="N41" s="896"/>
      <c r="O41" s="896"/>
      <c r="P41" s="895">
        <f t="shared" si="2"/>
        <v>0</v>
      </c>
      <c r="Q41" s="883"/>
    </row>
    <row r="42" spans="1:17">
      <c r="A42" s="1331">
        <f t="shared" si="0"/>
        <v>38</v>
      </c>
      <c r="B42" s="893" t="s">
        <v>147</v>
      </c>
      <c r="C42" s="892"/>
      <c r="D42" s="962">
        <f t="shared" si="6"/>
        <v>0</v>
      </c>
      <c r="E42" s="892"/>
      <c r="F42" s="896">
        <f t="shared" si="3"/>
        <v>0</v>
      </c>
      <c r="G42" s="896"/>
      <c r="H42" s="897">
        <f t="shared" si="4"/>
        <v>0</v>
      </c>
      <c r="I42" s="897"/>
      <c r="J42" s="906">
        <f t="shared" si="5"/>
        <v>2</v>
      </c>
      <c r="K42" s="890"/>
      <c r="L42" s="896">
        <f t="shared" si="1"/>
        <v>0</v>
      </c>
      <c r="M42" s="896"/>
      <c r="N42" s="896"/>
      <c r="O42" s="896"/>
      <c r="P42" s="895">
        <f t="shared" si="2"/>
        <v>0</v>
      </c>
      <c r="Q42" s="883"/>
    </row>
    <row r="43" spans="1:17">
      <c r="A43" s="1331">
        <f t="shared" si="0"/>
        <v>39</v>
      </c>
      <c r="B43" s="893" t="s">
        <v>145</v>
      </c>
      <c r="C43" s="892"/>
      <c r="D43" s="962">
        <f t="shared" si="6"/>
        <v>0</v>
      </c>
      <c r="E43" s="892"/>
      <c r="F43" s="896">
        <f t="shared" si="3"/>
        <v>0</v>
      </c>
      <c r="G43" s="896"/>
      <c r="H43" s="897">
        <f t="shared" si="4"/>
        <v>0</v>
      </c>
      <c r="I43" s="897"/>
      <c r="J43" s="906">
        <f t="shared" si="5"/>
        <v>1</v>
      </c>
      <c r="K43" s="890"/>
      <c r="L43" s="899">
        <f t="shared" si="1"/>
        <v>0</v>
      </c>
      <c r="M43" s="896"/>
      <c r="N43" s="896"/>
      <c r="O43" s="896"/>
      <c r="P43" s="895">
        <f t="shared" si="2"/>
        <v>0</v>
      </c>
      <c r="Q43" s="883"/>
    </row>
    <row r="44" spans="1:17">
      <c r="A44" s="1331">
        <f t="shared" si="0"/>
        <v>40</v>
      </c>
      <c r="B44" s="893"/>
      <c r="C44" s="892"/>
      <c r="D44" s="892"/>
      <c r="E44" s="892"/>
      <c r="F44" s="896"/>
      <c r="G44" s="896"/>
      <c r="H44" s="897"/>
      <c r="I44" s="897"/>
      <c r="J44" s="890"/>
      <c r="K44" s="890"/>
      <c r="L44" s="896">
        <f>SUM(L32:L43)</f>
        <v>0</v>
      </c>
      <c r="M44" s="896"/>
      <c r="N44" s="896"/>
      <c r="O44" s="896"/>
      <c r="P44" s="904">
        <f>SUM(P32:P43)</f>
        <v>0</v>
      </c>
      <c r="Q44" s="883"/>
    </row>
    <row r="45" spans="1:17">
      <c r="A45" s="1331">
        <f t="shared" si="0"/>
        <v>41</v>
      </c>
      <c r="B45" s="893"/>
      <c r="C45" s="892"/>
      <c r="D45" s="892"/>
      <c r="E45" s="892"/>
      <c r="F45" s="896"/>
      <c r="G45" s="896"/>
      <c r="H45" s="897"/>
      <c r="I45" s="897"/>
      <c r="J45" s="890"/>
      <c r="K45" s="890"/>
      <c r="L45" s="896"/>
      <c r="M45" s="896"/>
      <c r="N45" s="896"/>
      <c r="O45" s="896"/>
      <c r="P45" s="904"/>
      <c r="Q45" s="883"/>
    </row>
    <row r="46" spans="1:17">
      <c r="A46" s="1331">
        <f t="shared" si="0"/>
        <v>42</v>
      </c>
      <c r="B46" s="893"/>
      <c r="C46" s="892"/>
      <c r="D46" s="892"/>
      <c r="E46" s="892"/>
      <c r="F46" s="896"/>
      <c r="G46" s="896"/>
      <c r="H46" s="897"/>
      <c r="I46" s="897"/>
      <c r="J46" s="890"/>
      <c r="K46" s="890"/>
      <c r="L46" s="901" t="s">
        <v>262</v>
      </c>
      <c r="M46" s="896"/>
      <c r="N46" s="896"/>
      <c r="O46" s="896"/>
      <c r="P46" s="904"/>
      <c r="Q46" s="883"/>
    </row>
    <row r="47" spans="1:17">
      <c r="A47" s="1331">
        <f t="shared" si="0"/>
        <v>43</v>
      </c>
      <c r="B47" s="893"/>
      <c r="C47" s="892"/>
      <c r="D47" s="892"/>
      <c r="E47" s="892"/>
      <c r="F47" s="896"/>
      <c r="G47" s="896"/>
      <c r="H47" s="897"/>
      <c r="I47" s="897"/>
      <c r="J47" s="890"/>
      <c r="K47" s="890"/>
      <c r="L47" s="901"/>
      <c r="M47" s="896"/>
      <c r="N47" s="896"/>
      <c r="O47" s="896"/>
      <c r="P47" s="904"/>
      <c r="Q47" s="883"/>
    </row>
    <row r="48" spans="1:17">
      <c r="A48" s="1331">
        <f t="shared" si="0"/>
        <v>44</v>
      </c>
      <c r="B48" s="893" t="s">
        <v>263</v>
      </c>
      <c r="C48" s="892"/>
      <c r="D48" s="963">
        <f>+D43+1</f>
        <v>1</v>
      </c>
      <c r="E48" s="892"/>
      <c r="F48" s="896">
        <f>P44</f>
        <v>0</v>
      </c>
      <c r="G48" s="896"/>
      <c r="H48" s="897">
        <f>+N11</f>
        <v>0</v>
      </c>
      <c r="I48" s="897"/>
      <c r="J48" s="905">
        <v>12</v>
      </c>
      <c r="K48" s="892"/>
      <c r="L48" s="896">
        <f>+J48*H48*F48</f>
        <v>0</v>
      </c>
      <c r="M48" s="896"/>
      <c r="N48" s="896" t="s">
        <v>7</v>
      </c>
      <c r="O48" s="896"/>
      <c r="P48" s="904">
        <f>+F48+L48</f>
        <v>0</v>
      </c>
      <c r="Q48" s="883"/>
    </row>
    <row r="49" spans="1:18">
      <c r="A49" s="1331">
        <f t="shared" si="0"/>
        <v>45</v>
      </c>
      <c r="B49" s="893" t="s">
        <v>263</v>
      </c>
      <c r="C49" s="892"/>
      <c r="D49" s="963">
        <f>+D48+1</f>
        <v>2</v>
      </c>
      <c r="E49" s="892"/>
      <c r="F49" s="898">
        <f>P48</f>
        <v>0</v>
      </c>
      <c r="G49" s="898"/>
      <c r="H49" s="897">
        <f>+N12</f>
        <v>0</v>
      </c>
      <c r="I49" s="897"/>
      <c r="J49" s="905">
        <v>12</v>
      </c>
      <c r="K49" s="892"/>
      <c r="L49" s="896">
        <f>+J49*H49*F49</f>
        <v>0</v>
      </c>
      <c r="M49" s="896"/>
      <c r="N49" s="896"/>
      <c r="O49" s="896"/>
      <c r="P49" s="904">
        <f>+F49+L49</f>
        <v>0</v>
      </c>
      <c r="Q49" s="883"/>
    </row>
    <row r="50" spans="1:18">
      <c r="A50" s="1331">
        <f t="shared" si="0"/>
        <v>46</v>
      </c>
      <c r="B50" s="893" t="s">
        <v>263</v>
      </c>
      <c r="C50" s="892"/>
      <c r="D50" s="963">
        <f>+D49+1</f>
        <v>3</v>
      </c>
      <c r="E50" s="892"/>
      <c r="F50" s="898">
        <f>P49</f>
        <v>0</v>
      </c>
      <c r="G50" s="898"/>
      <c r="H50" s="897">
        <f>+N12</f>
        <v>0</v>
      </c>
      <c r="I50" s="897"/>
      <c r="J50" s="905">
        <v>12</v>
      </c>
      <c r="K50" s="892"/>
      <c r="L50" s="896">
        <f>+J50*H50*F50</f>
        <v>0</v>
      </c>
      <c r="M50" s="896"/>
      <c r="N50" s="896"/>
      <c r="O50" s="896"/>
      <c r="P50" s="904">
        <f>+F50+L50</f>
        <v>0</v>
      </c>
      <c r="Q50" s="883"/>
    </row>
    <row r="51" spans="1:18">
      <c r="A51" s="1331">
        <f t="shared" si="0"/>
        <v>47</v>
      </c>
      <c r="B51" s="893"/>
      <c r="C51" s="892"/>
      <c r="D51" s="963"/>
      <c r="E51" s="892"/>
      <c r="F51" s="898"/>
      <c r="G51" s="898"/>
      <c r="H51" s="897"/>
      <c r="I51" s="897"/>
      <c r="J51" s="905"/>
      <c r="K51" s="892"/>
      <c r="L51" s="896"/>
      <c r="M51" s="896"/>
      <c r="N51" s="896"/>
      <c r="O51" s="896"/>
      <c r="P51" s="904"/>
      <c r="Q51" s="883"/>
    </row>
    <row r="52" spans="1:18">
      <c r="A52" s="1331">
        <f t="shared" si="0"/>
        <v>48</v>
      </c>
      <c r="B52" s="893"/>
      <c r="C52" s="892"/>
      <c r="D52" s="963"/>
      <c r="E52" s="892"/>
      <c r="F52" s="898"/>
      <c r="G52" s="898"/>
      <c r="H52" s="897"/>
      <c r="I52" s="897"/>
      <c r="J52" s="905"/>
      <c r="K52" s="892"/>
      <c r="L52" s="896"/>
      <c r="M52" s="896"/>
      <c r="N52" s="896"/>
      <c r="O52" s="896"/>
      <c r="P52" s="904"/>
      <c r="Q52" s="883"/>
    </row>
    <row r="53" spans="1:18">
      <c r="A53" s="1331">
        <f t="shared" si="0"/>
        <v>49</v>
      </c>
      <c r="B53" s="893"/>
      <c r="C53" s="892"/>
      <c r="D53" s="892"/>
      <c r="E53" s="892"/>
      <c r="F53" s="898"/>
      <c r="G53" s="898"/>
      <c r="H53" s="897"/>
      <c r="I53" s="897"/>
      <c r="J53" s="892"/>
      <c r="K53" s="892"/>
      <c r="L53" s="896"/>
      <c r="M53" s="896"/>
      <c r="N53" s="896"/>
      <c r="O53" s="896"/>
      <c r="P53" s="904"/>
      <c r="Q53" s="883"/>
    </row>
    <row r="54" spans="1:18">
      <c r="A54" s="1331">
        <f t="shared" si="0"/>
        <v>50</v>
      </c>
      <c r="B54" s="893"/>
      <c r="C54" s="892"/>
      <c r="D54" s="892"/>
      <c r="E54" s="892"/>
      <c r="F54" s="898"/>
      <c r="G54" s="898"/>
      <c r="H54" s="897"/>
      <c r="I54" s="897"/>
      <c r="J54" s="892"/>
      <c r="K54" s="892"/>
      <c r="L54" s="896"/>
      <c r="M54" s="896"/>
      <c r="N54" s="896"/>
      <c r="O54" s="896"/>
      <c r="P54" s="895"/>
      <c r="Q54" s="883"/>
    </row>
    <row r="55" spans="1:18">
      <c r="A55" s="1331">
        <f t="shared" si="0"/>
        <v>51</v>
      </c>
      <c r="B55" s="903" t="s">
        <v>264</v>
      </c>
      <c r="C55" s="902"/>
      <c r="D55" s="892"/>
      <c r="E55" s="892"/>
      <c r="F55" s="896"/>
      <c r="G55" s="896"/>
      <c r="H55" s="897"/>
      <c r="I55" s="897"/>
      <c r="J55" s="892"/>
      <c r="K55" s="892"/>
      <c r="L55" s="901" t="s">
        <v>260</v>
      </c>
      <c r="M55" s="901"/>
      <c r="N55" s="896"/>
      <c r="O55" s="896"/>
      <c r="P55" s="895"/>
      <c r="Q55" s="883"/>
    </row>
    <row r="56" spans="1:18">
      <c r="A56" s="1331">
        <f t="shared" si="0"/>
        <v>52</v>
      </c>
      <c r="B56" s="893" t="s">
        <v>155</v>
      </c>
      <c r="C56" s="892"/>
      <c r="D56" s="962">
        <f>+D50+1</f>
        <v>4</v>
      </c>
      <c r="E56" s="892"/>
      <c r="F56" s="900">
        <f>+P50</f>
        <v>0</v>
      </c>
      <c r="G56" s="898"/>
      <c r="H56" s="897">
        <f>+H50</f>
        <v>0</v>
      </c>
      <c r="I56" s="897"/>
      <c r="J56" s="892"/>
      <c r="K56" s="892"/>
      <c r="L56" s="896">
        <f t="shared" ref="L56:L67" si="7" xml:space="preserve"> -H56*F56</f>
        <v>0</v>
      </c>
      <c r="M56" s="896"/>
      <c r="N56" s="896">
        <f>-PMT(H56,12,P50)</f>
        <v>0</v>
      </c>
      <c r="O56" s="896"/>
      <c r="P56" s="895">
        <f t="shared" ref="P56:P67" si="8">(+F56+F56*H56+N56)*-1</f>
        <v>0</v>
      </c>
      <c r="Q56" s="924"/>
      <c r="R56" s="923"/>
    </row>
    <row r="57" spans="1:18">
      <c r="A57" s="1331">
        <f t="shared" si="0"/>
        <v>53</v>
      </c>
      <c r="B57" s="893" t="s">
        <v>154</v>
      </c>
      <c r="C57" s="892"/>
      <c r="D57" s="962">
        <f>+D56</f>
        <v>4</v>
      </c>
      <c r="E57" s="892"/>
      <c r="F57" s="898">
        <f t="shared" ref="F57:F67" si="9">-P56</f>
        <v>0</v>
      </c>
      <c r="G57" s="898"/>
      <c r="H57" s="897">
        <f t="shared" ref="H57:H67" si="10">+H56</f>
        <v>0</v>
      </c>
      <c r="I57" s="897"/>
      <c r="J57" s="892"/>
      <c r="K57" s="892"/>
      <c r="L57" s="896">
        <f t="shared" si="7"/>
        <v>0</v>
      </c>
      <c r="M57" s="896"/>
      <c r="N57" s="896">
        <f t="shared" ref="N57:N67" si="11">N56</f>
        <v>0</v>
      </c>
      <c r="O57" s="896"/>
      <c r="P57" s="895">
        <f t="shared" si="8"/>
        <v>0</v>
      </c>
      <c r="Q57" s="924"/>
      <c r="R57" s="923"/>
    </row>
    <row r="58" spans="1:18">
      <c r="A58" s="1331">
        <f t="shared" si="0"/>
        <v>54</v>
      </c>
      <c r="B58" s="893" t="s">
        <v>153</v>
      </c>
      <c r="C58" s="892"/>
      <c r="D58" s="962">
        <f t="shared" ref="D58:D67" si="12">+D57</f>
        <v>4</v>
      </c>
      <c r="E58" s="892"/>
      <c r="F58" s="898">
        <f t="shared" si="9"/>
        <v>0</v>
      </c>
      <c r="G58" s="898"/>
      <c r="H58" s="897">
        <f t="shared" si="10"/>
        <v>0</v>
      </c>
      <c r="I58" s="897"/>
      <c r="J58" s="892"/>
      <c r="K58" s="892"/>
      <c r="L58" s="896">
        <f t="shared" si="7"/>
        <v>0</v>
      </c>
      <c r="M58" s="896"/>
      <c r="N58" s="896">
        <f t="shared" si="11"/>
        <v>0</v>
      </c>
      <c r="O58" s="896"/>
      <c r="P58" s="895">
        <f t="shared" si="8"/>
        <v>0</v>
      </c>
      <c r="Q58" s="924"/>
      <c r="R58" s="923"/>
    </row>
    <row r="59" spans="1:18">
      <c r="A59" s="1331">
        <f t="shared" si="0"/>
        <v>55</v>
      </c>
      <c r="B59" s="893" t="s">
        <v>133</v>
      </c>
      <c r="C59" s="892"/>
      <c r="D59" s="962">
        <f t="shared" si="12"/>
        <v>4</v>
      </c>
      <c r="E59" s="892"/>
      <c r="F59" s="898">
        <f t="shared" si="9"/>
        <v>0</v>
      </c>
      <c r="G59" s="898"/>
      <c r="H59" s="897">
        <f t="shared" si="10"/>
        <v>0</v>
      </c>
      <c r="I59" s="897"/>
      <c r="J59" s="892"/>
      <c r="K59" s="892"/>
      <c r="L59" s="896">
        <f t="shared" si="7"/>
        <v>0</v>
      </c>
      <c r="M59" s="896"/>
      <c r="N59" s="896">
        <f t="shared" si="11"/>
        <v>0</v>
      </c>
      <c r="O59" s="896"/>
      <c r="P59" s="895">
        <f t="shared" si="8"/>
        <v>0</v>
      </c>
      <c r="Q59" s="924"/>
      <c r="R59" s="923"/>
    </row>
    <row r="60" spans="1:18">
      <c r="A60" s="1331">
        <f t="shared" si="0"/>
        <v>56</v>
      </c>
      <c r="B60" s="893" t="s">
        <v>130</v>
      </c>
      <c r="C60" s="892"/>
      <c r="D60" s="962">
        <f t="shared" si="12"/>
        <v>4</v>
      </c>
      <c r="E60" s="892"/>
      <c r="F60" s="898">
        <f t="shared" si="9"/>
        <v>0</v>
      </c>
      <c r="G60" s="898"/>
      <c r="H60" s="897">
        <f t="shared" si="10"/>
        <v>0</v>
      </c>
      <c r="I60" s="897"/>
      <c r="J60" s="892"/>
      <c r="K60" s="892"/>
      <c r="L60" s="896">
        <f t="shared" si="7"/>
        <v>0</v>
      </c>
      <c r="M60" s="896"/>
      <c r="N60" s="896">
        <f t="shared" si="11"/>
        <v>0</v>
      </c>
      <c r="O60" s="896"/>
      <c r="P60" s="895">
        <f t="shared" si="8"/>
        <v>0</v>
      </c>
      <c r="Q60" s="924"/>
      <c r="R60" s="923"/>
    </row>
    <row r="61" spans="1:18">
      <c r="A61" s="1331">
        <f t="shared" si="0"/>
        <v>57</v>
      </c>
      <c r="B61" s="893" t="s">
        <v>261</v>
      </c>
      <c r="C61" s="892"/>
      <c r="D61" s="962">
        <f t="shared" si="12"/>
        <v>4</v>
      </c>
      <c r="E61" s="892"/>
      <c r="F61" s="898">
        <f t="shared" si="9"/>
        <v>0</v>
      </c>
      <c r="G61" s="898"/>
      <c r="H61" s="897">
        <f t="shared" si="10"/>
        <v>0</v>
      </c>
      <c r="I61" s="897"/>
      <c r="J61" s="892"/>
      <c r="K61" s="892"/>
      <c r="L61" s="896">
        <f t="shared" si="7"/>
        <v>0</v>
      </c>
      <c r="M61" s="896"/>
      <c r="N61" s="896">
        <f t="shared" si="11"/>
        <v>0</v>
      </c>
      <c r="O61" s="896"/>
      <c r="P61" s="895">
        <f t="shared" si="8"/>
        <v>0</v>
      </c>
      <c r="Q61" s="924"/>
      <c r="R61" s="923"/>
    </row>
    <row r="62" spans="1:18">
      <c r="A62" s="1331">
        <f t="shared" si="0"/>
        <v>58</v>
      </c>
      <c r="B62" s="893" t="s">
        <v>151</v>
      </c>
      <c r="C62" s="892"/>
      <c r="D62" s="962">
        <f t="shared" si="12"/>
        <v>4</v>
      </c>
      <c r="E62" s="892"/>
      <c r="F62" s="898">
        <f t="shared" si="9"/>
        <v>0</v>
      </c>
      <c r="G62" s="898"/>
      <c r="H62" s="897">
        <f t="shared" si="10"/>
        <v>0</v>
      </c>
      <c r="I62" s="897"/>
      <c r="J62" s="892"/>
      <c r="K62" s="892"/>
      <c r="L62" s="896">
        <f t="shared" si="7"/>
        <v>0</v>
      </c>
      <c r="M62" s="896"/>
      <c r="N62" s="896">
        <f t="shared" si="11"/>
        <v>0</v>
      </c>
      <c r="O62" s="896"/>
      <c r="P62" s="895">
        <f t="shared" si="8"/>
        <v>0</v>
      </c>
      <c r="Q62" s="924"/>
      <c r="R62" s="923"/>
    </row>
    <row r="63" spans="1:18">
      <c r="A63" s="1331">
        <f t="shared" si="0"/>
        <v>59</v>
      </c>
      <c r="B63" s="893" t="s">
        <v>150</v>
      </c>
      <c r="C63" s="892"/>
      <c r="D63" s="962">
        <f t="shared" si="12"/>
        <v>4</v>
      </c>
      <c r="E63" s="892"/>
      <c r="F63" s="898">
        <f t="shared" si="9"/>
        <v>0</v>
      </c>
      <c r="G63" s="898"/>
      <c r="H63" s="897">
        <f t="shared" si="10"/>
        <v>0</v>
      </c>
      <c r="I63" s="897"/>
      <c r="J63" s="892"/>
      <c r="K63" s="892"/>
      <c r="L63" s="896">
        <f t="shared" si="7"/>
        <v>0</v>
      </c>
      <c r="M63" s="896"/>
      <c r="N63" s="896">
        <f t="shared" si="11"/>
        <v>0</v>
      </c>
      <c r="O63" s="896"/>
      <c r="P63" s="895">
        <f t="shared" si="8"/>
        <v>0</v>
      </c>
      <c r="Q63" s="924"/>
      <c r="R63" s="923"/>
    </row>
    <row r="64" spans="1:18">
      <c r="A64" s="1331">
        <f t="shared" si="0"/>
        <v>60</v>
      </c>
      <c r="B64" s="893" t="s">
        <v>149</v>
      </c>
      <c r="C64" s="892"/>
      <c r="D64" s="962">
        <f t="shared" si="12"/>
        <v>4</v>
      </c>
      <c r="E64" s="892"/>
      <c r="F64" s="898">
        <f t="shared" si="9"/>
        <v>0</v>
      </c>
      <c r="G64" s="898"/>
      <c r="H64" s="897">
        <f t="shared" si="10"/>
        <v>0</v>
      </c>
      <c r="I64" s="897"/>
      <c r="J64" s="892"/>
      <c r="K64" s="892"/>
      <c r="L64" s="896">
        <f t="shared" si="7"/>
        <v>0</v>
      </c>
      <c r="M64" s="896"/>
      <c r="N64" s="896">
        <f t="shared" si="11"/>
        <v>0</v>
      </c>
      <c r="O64" s="896"/>
      <c r="P64" s="895">
        <f t="shared" si="8"/>
        <v>0</v>
      </c>
      <c r="Q64" s="924"/>
      <c r="R64" s="923"/>
    </row>
    <row r="65" spans="1:18">
      <c r="A65" s="1331">
        <f t="shared" si="0"/>
        <v>61</v>
      </c>
      <c r="B65" s="893" t="s">
        <v>160</v>
      </c>
      <c r="C65" s="892"/>
      <c r="D65" s="962">
        <f t="shared" si="12"/>
        <v>4</v>
      </c>
      <c r="E65" s="892"/>
      <c r="F65" s="898">
        <f t="shared" si="9"/>
        <v>0</v>
      </c>
      <c r="G65" s="898"/>
      <c r="H65" s="897">
        <f t="shared" si="10"/>
        <v>0</v>
      </c>
      <c r="I65" s="897"/>
      <c r="J65" s="892"/>
      <c r="K65" s="892"/>
      <c r="L65" s="896">
        <f t="shared" si="7"/>
        <v>0</v>
      </c>
      <c r="M65" s="896"/>
      <c r="N65" s="896">
        <f t="shared" si="11"/>
        <v>0</v>
      </c>
      <c r="O65" s="896"/>
      <c r="P65" s="895">
        <f t="shared" si="8"/>
        <v>0</v>
      </c>
      <c r="Q65" s="924"/>
      <c r="R65" s="923"/>
    </row>
    <row r="66" spans="1:18">
      <c r="A66" s="1331">
        <f t="shared" si="0"/>
        <v>62</v>
      </c>
      <c r="B66" s="893" t="s">
        <v>147</v>
      </c>
      <c r="C66" s="892"/>
      <c r="D66" s="962">
        <f t="shared" si="12"/>
        <v>4</v>
      </c>
      <c r="E66" s="892"/>
      <c r="F66" s="898">
        <f t="shared" si="9"/>
        <v>0</v>
      </c>
      <c r="G66" s="898"/>
      <c r="H66" s="897">
        <f t="shared" si="10"/>
        <v>0</v>
      </c>
      <c r="I66" s="897"/>
      <c r="J66" s="892"/>
      <c r="K66" s="892"/>
      <c r="L66" s="896">
        <f t="shared" si="7"/>
        <v>0</v>
      </c>
      <c r="M66" s="896"/>
      <c r="N66" s="896">
        <f t="shared" si="11"/>
        <v>0</v>
      </c>
      <c r="O66" s="896"/>
      <c r="P66" s="895">
        <f t="shared" si="8"/>
        <v>0</v>
      </c>
      <c r="Q66" s="924"/>
      <c r="R66" s="923"/>
    </row>
    <row r="67" spans="1:18">
      <c r="A67" s="1331">
        <f t="shared" si="0"/>
        <v>63</v>
      </c>
      <c r="B67" s="893" t="s">
        <v>145</v>
      </c>
      <c r="C67" s="892"/>
      <c r="D67" s="962">
        <f t="shared" si="12"/>
        <v>4</v>
      </c>
      <c r="E67" s="892"/>
      <c r="F67" s="898">
        <f t="shared" si="9"/>
        <v>0</v>
      </c>
      <c r="G67" s="898"/>
      <c r="H67" s="897">
        <f t="shared" si="10"/>
        <v>0</v>
      </c>
      <c r="I67" s="897"/>
      <c r="J67" s="892"/>
      <c r="K67" s="892"/>
      <c r="L67" s="899">
        <f t="shared" si="7"/>
        <v>0</v>
      </c>
      <c r="M67" s="896"/>
      <c r="N67" s="896">
        <f t="shared" si="11"/>
        <v>0</v>
      </c>
      <c r="O67" s="896"/>
      <c r="P67" s="895">
        <f t="shared" si="8"/>
        <v>0</v>
      </c>
      <c r="Q67" s="924"/>
      <c r="R67" s="923"/>
    </row>
    <row r="68" spans="1:18">
      <c r="A68" s="1331">
        <f t="shared" si="0"/>
        <v>64</v>
      </c>
      <c r="B68" s="893"/>
      <c r="C68" s="892"/>
      <c r="D68" s="892"/>
      <c r="E68" s="892"/>
      <c r="F68" s="898"/>
      <c r="G68" s="898"/>
      <c r="H68" s="897"/>
      <c r="I68" s="897"/>
      <c r="J68" s="892"/>
      <c r="K68" s="892"/>
      <c r="L68" s="896">
        <f>SUM(L56:L67)</f>
        <v>0</v>
      </c>
      <c r="M68" s="896"/>
      <c r="N68" s="896"/>
      <c r="O68" s="896"/>
      <c r="P68" s="895"/>
      <c r="Q68" s="924"/>
      <c r="R68" s="923"/>
    </row>
    <row r="69" spans="1:18">
      <c r="A69" s="1331">
        <f t="shared" si="0"/>
        <v>65</v>
      </c>
      <c r="B69" s="894"/>
      <c r="C69" s="890"/>
      <c r="D69" s="890"/>
      <c r="E69" s="890"/>
      <c r="F69" s="890"/>
      <c r="G69" s="890"/>
      <c r="H69" s="890"/>
      <c r="I69" s="890"/>
      <c r="J69" s="890"/>
      <c r="K69" s="890"/>
      <c r="L69" s="890"/>
      <c r="M69" s="890"/>
      <c r="N69" s="890"/>
      <c r="O69" s="890"/>
      <c r="P69" s="889"/>
      <c r="Q69" s="883"/>
    </row>
    <row r="70" spans="1:18">
      <c r="A70" s="1331">
        <f t="shared" si="0"/>
        <v>66</v>
      </c>
      <c r="B70" s="893" t="s">
        <v>582</v>
      </c>
      <c r="C70" s="892"/>
      <c r="D70" s="890"/>
      <c r="E70" s="890"/>
      <c r="F70" s="890"/>
      <c r="G70" s="890"/>
      <c r="H70" s="890"/>
      <c r="I70" s="890"/>
      <c r="J70" s="890"/>
      <c r="K70" s="890"/>
      <c r="L70" s="890"/>
      <c r="M70" s="890"/>
      <c r="N70" s="891">
        <f>SUM(N56:N67)</f>
        <v>0</v>
      </c>
      <c r="O70" s="890"/>
      <c r="P70" s="889"/>
      <c r="Q70" s="883"/>
    </row>
    <row r="71" spans="1:18">
      <c r="A71" s="1331">
        <f t="shared" ref="A71:A134" si="13">+A70+1</f>
        <v>67</v>
      </c>
      <c r="B71" s="893" t="s">
        <v>265</v>
      </c>
      <c r="C71" s="892"/>
      <c r="D71" s="890"/>
      <c r="E71" s="890"/>
      <c r="F71" s="890"/>
      <c r="G71" s="890"/>
      <c r="H71" s="890"/>
      <c r="I71" s="890"/>
      <c r="J71" s="890"/>
      <c r="K71" s="890"/>
      <c r="L71" s="890"/>
      <c r="M71" s="890"/>
      <c r="N71" s="891">
        <f>L10</f>
        <v>0</v>
      </c>
      <c r="O71" s="890"/>
      <c r="P71" s="889"/>
      <c r="Q71" s="883"/>
    </row>
    <row r="72" spans="1:18">
      <c r="A72" s="1331">
        <f t="shared" si="13"/>
        <v>68</v>
      </c>
      <c r="B72" s="888" t="s">
        <v>266</v>
      </c>
      <c r="C72" s="887"/>
      <c r="D72" s="885"/>
      <c r="E72" s="885"/>
      <c r="F72" s="885"/>
      <c r="G72" s="885"/>
      <c r="H72" s="885"/>
      <c r="I72" s="885"/>
      <c r="J72" s="885"/>
      <c r="K72" s="885"/>
      <c r="L72" s="885"/>
      <c r="M72" s="885"/>
      <c r="N72" s="886">
        <f>(N70+N71)</f>
        <v>0</v>
      </c>
      <c r="O72" s="885"/>
      <c r="P72" s="884"/>
      <c r="Q72" s="883"/>
    </row>
    <row r="73" spans="1:18">
      <c r="A73" s="1331">
        <f t="shared" si="13"/>
        <v>69</v>
      </c>
      <c r="B73" s="883"/>
      <c r="C73" s="883"/>
      <c r="D73" s="883"/>
      <c r="E73" s="883"/>
      <c r="F73" s="883"/>
      <c r="G73" s="883"/>
      <c r="H73" s="883"/>
      <c r="I73" s="883"/>
      <c r="J73" s="883"/>
      <c r="K73" s="883"/>
      <c r="L73" s="883"/>
      <c r="M73" s="883"/>
      <c r="N73" s="883"/>
      <c r="O73" s="883"/>
      <c r="P73" s="883"/>
      <c r="Q73" s="883"/>
    </row>
    <row r="74" spans="1:18">
      <c r="A74" s="1331">
        <f t="shared" si="13"/>
        <v>70</v>
      </c>
      <c r="O74" s="883"/>
      <c r="P74" s="883"/>
      <c r="Q74" s="883"/>
    </row>
    <row r="75" spans="1:18">
      <c r="A75" s="1331">
        <f t="shared" si="13"/>
        <v>71</v>
      </c>
      <c r="B75" s="1746" t="s">
        <v>823</v>
      </c>
      <c r="C75" s="1746"/>
      <c r="D75" s="1746"/>
      <c r="E75" s="1746"/>
      <c r="F75" s="1746"/>
      <c r="G75" s="1746"/>
      <c r="H75" s="1746"/>
      <c r="I75" s="1746"/>
      <c r="J75" s="1746"/>
      <c r="K75" s="1746"/>
      <c r="L75" s="1746"/>
      <c r="M75" s="1746"/>
      <c r="N75" s="1746"/>
      <c r="O75" s="883"/>
      <c r="P75" s="883"/>
      <c r="Q75" s="883"/>
    </row>
    <row r="76" spans="1:18">
      <c r="A76" s="1331">
        <f t="shared" si="13"/>
        <v>72</v>
      </c>
      <c r="B76" s="1745" t="str">
        <f>+B3</f>
        <v>MidAmerican Central California Transco, LLC</v>
      </c>
      <c r="C76" s="1745"/>
      <c r="D76" s="1745"/>
      <c r="E76" s="1745"/>
      <c r="F76" s="1745"/>
      <c r="G76" s="1745"/>
      <c r="H76" s="1745"/>
      <c r="I76" s="1745"/>
      <c r="J76" s="1745"/>
      <c r="K76" s="1745"/>
      <c r="L76" s="1745"/>
      <c r="M76" s="1745"/>
      <c r="N76" s="1745"/>
      <c r="O76" s="883"/>
      <c r="P76" s="883"/>
      <c r="Q76" s="883"/>
    </row>
    <row r="77" spans="1:18">
      <c r="A77" s="1331">
        <f t="shared" si="13"/>
        <v>73</v>
      </c>
      <c r="B77" s="1746"/>
      <c r="C77" s="1746"/>
      <c r="D77" s="1746"/>
      <c r="E77" s="1746"/>
      <c r="F77" s="1746"/>
      <c r="G77" s="1746"/>
      <c r="H77" s="1746"/>
      <c r="I77" s="1746"/>
      <c r="J77" s="1746"/>
      <c r="K77" s="1746"/>
      <c r="L77" s="1746"/>
      <c r="M77" s="1746"/>
      <c r="N77" s="1746"/>
      <c r="O77" s="883"/>
      <c r="P77" s="883"/>
      <c r="Q77" s="883"/>
    </row>
    <row r="78" spans="1:18">
      <c r="A78" s="1331">
        <f t="shared" si="13"/>
        <v>74</v>
      </c>
      <c r="B78" s="922"/>
      <c r="C78" s="922"/>
      <c r="D78" s="919"/>
      <c r="E78" s="919"/>
      <c r="F78" s="919"/>
      <c r="G78" s="919"/>
      <c r="H78" s="921"/>
      <c r="I78" s="921"/>
      <c r="J78" s="919"/>
      <c r="K78" s="919"/>
      <c r="L78" s="919"/>
      <c r="M78" s="919"/>
      <c r="N78" s="920"/>
      <c r="O78" s="919"/>
      <c r="P78" s="919"/>
      <c r="Q78" s="883"/>
    </row>
    <row r="79" spans="1:18">
      <c r="A79" s="1331">
        <f t="shared" si="13"/>
        <v>75</v>
      </c>
      <c r="B79" s="918" t="s">
        <v>593</v>
      </c>
      <c r="C79" s="910"/>
      <c r="D79" s="908"/>
      <c r="E79" s="908"/>
      <c r="F79" s="908"/>
      <c r="G79" s="908"/>
      <c r="H79" s="892"/>
      <c r="I79" s="892"/>
      <c r="J79" s="892"/>
      <c r="K79" s="892"/>
      <c r="L79" s="909"/>
      <c r="M79" s="909"/>
      <c r="N79" s="908"/>
      <c r="O79" s="908"/>
      <c r="P79" s="907"/>
      <c r="Q79" s="883"/>
    </row>
    <row r="80" spans="1:18">
      <c r="A80" s="1331">
        <f t="shared" si="13"/>
        <v>76</v>
      </c>
      <c r="B80" s="912"/>
      <c r="C80" s="910"/>
      <c r="D80" s="908"/>
      <c r="E80" s="908"/>
      <c r="F80" s="908"/>
      <c r="G80" s="908"/>
      <c r="H80" s="892"/>
      <c r="I80" s="892"/>
      <c r="J80" s="892"/>
      <c r="K80" s="892"/>
      <c r="L80" s="909" t="s">
        <v>260</v>
      </c>
      <c r="M80" s="909"/>
      <c r="N80" s="908"/>
      <c r="O80" s="908"/>
      <c r="P80" s="907"/>
      <c r="Q80" s="883"/>
    </row>
    <row r="81" spans="1:17">
      <c r="A81" s="1331">
        <f t="shared" si="13"/>
        <v>77</v>
      </c>
      <c r="B81" s="911"/>
      <c r="C81" s="910"/>
      <c r="D81" s="908"/>
      <c r="E81" s="908"/>
      <c r="F81" s="908"/>
      <c r="G81" s="908"/>
      <c r="H81" s="892"/>
      <c r="I81" s="892"/>
      <c r="J81" s="892"/>
      <c r="K81" s="892"/>
      <c r="L81" s="909"/>
      <c r="M81" s="909"/>
      <c r="N81" s="908"/>
      <c r="O81" s="908"/>
      <c r="P81" s="907"/>
      <c r="Q81" s="883"/>
    </row>
    <row r="82" spans="1:17">
      <c r="A82" s="1331">
        <f t="shared" si="13"/>
        <v>78</v>
      </c>
      <c r="B82" s="893" t="s">
        <v>155</v>
      </c>
      <c r="C82" s="892"/>
      <c r="D82" s="962">
        <f>+D48</f>
        <v>1</v>
      </c>
      <c r="E82" s="892"/>
      <c r="F82" s="896">
        <f>L11/12</f>
        <v>0</v>
      </c>
      <c r="G82" s="896"/>
      <c r="H82" s="897">
        <f>+H48</f>
        <v>0</v>
      </c>
      <c r="I82" s="897"/>
      <c r="J82" s="905">
        <v>12</v>
      </c>
      <c r="K82" s="892"/>
      <c r="L82" s="896">
        <f t="shared" ref="L82:L93" si="14">H82*F82*J82*-1</f>
        <v>0</v>
      </c>
      <c r="M82" s="896"/>
      <c r="N82" s="896"/>
      <c r="O82" s="896"/>
      <c r="P82" s="895">
        <f t="shared" ref="P82:P93" si="15">(-L82+F82)*-1</f>
        <v>0</v>
      </c>
      <c r="Q82" s="883"/>
    </row>
    <row r="83" spans="1:17">
      <c r="A83" s="1331">
        <f t="shared" si="13"/>
        <v>79</v>
      </c>
      <c r="B83" s="893" t="s">
        <v>154</v>
      </c>
      <c r="C83" s="892"/>
      <c r="D83" s="962">
        <f>+D82</f>
        <v>1</v>
      </c>
      <c r="E83" s="892"/>
      <c r="F83" s="896">
        <f t="shared" ref="F83:F93" si="16">+F82</f>
        <v>0</v>
      </c>
      <c r="G83" s="896"/>
      <c r="H83" s="897">
        <f t="shared" ref="H83:H93" si="17">+H82</f>
        <v>0</v>
      </c>
      <c r="I83" s="897"/>
      <c r="J83" s="906">
        <f t="shared" ref="J83:J93" si="18">+J82-1</f>
        <v>11</v>
      </c>
      <c r="K83" s="890"/>
      <c r="L83" s="896">
        <f t="shared" si="14"/>
        <v>0</v>
      </c>
      <c r="M83" s="896"/>
      <c r="N83" s="896"/>
      <c r="O83" s="896"/>
      <c r="P83" s="895">
        <f t="shared" si="15"/>
        <v>0</v>
      </c>
      <c r="Q83" s="883"/>
    </row>
    <row r="84" spans="1:17">
      <c r="A84" s="1331">
        <f t="shared" si="13"/>
        <v>80</v>
      </c>
      <c r="B84" s="893" t="s">
        <v>153</v>
      </c>
      <c r="C84" s="892"/>
      <c r="D84" s="962">
        <f t="shared" ref="D84:D93" si="19">+D83</f>
        <v>1</v>
      </c>
      <c r="E84" s="892"/>
      <c r="F84" s="896">
        <f t="shared" si="16"/>
        <v>0</v>
      </c>
      <c r="G84" s="896"/>
      <c r="H84" s="897">
        <f t="shared" si="17"/>
        <v>0</v>
      </c>
      <c r="I84" s="897"/>
      <c r="J84" s="906">
        <f t="shared" si="18"/>
        <v>10</v>
      </c>
      <c r="K84" s="890"/>
      <c r="L84" s="896">
        <f t="shared" si="14"/>
        <v>0</v>
      </c>
      <c r="M84" s="896"/>
      <c r="N84" s="896"/>
      <c r="O84" s="896"/>
      <c r="P84" s="895">
        <f t="shared" si="15"/>
        <v>0</v>
      </c>
      <c r="Q84" s="883"/>
    </row>
    <row r="85" spans="1:17">
      <c r="A85" s="1331">
        <f t="shared" si="13"/>
        <v>81</v>
      </c>
      <c r="B85" s="893" t="s">
        <v>133</v>
      </c>
      <c r="C85" s="892"/>
      <c r="D85" s="962">
        <f t="shared" si="19"/>
        <v>1</v>
      </c>
      <c r="E85" s="892"/>
      <c r="F85" s="896">
        <f t="shared" si="16"/>
        <v>0</v>
      </c>
      <c r="G85" s="896"/>
      <c r="H85" s="897">
        <f t="shared" si="17"/>
        <v>0</v>
      </c>
      <c r="I85" s="897"/>
      <c r="J85" s="906">
        <f t="shared" si="18"/>
        <v>9</v>
      </c>
      <c r="K85" s="890"/>
      <c r="L85" s="896">
        <f t="shared" si="14"/>
        <v>0</v>
      </c>
      <c r="M85" s="896"/>
      <c r="N85" s="896"/>
      <c r="O85" s="896"/>
      <c r="P85" s="895">
        <f t="shared" si="15"/>
        <v>0</v>
      </c>
      <c r="Q85" s="883"/>
    </row>
    <row r="86" spans="1:17">
      <c r="A86" s="1331">
        <f t="shared" si="13"/>
        <v>82</v>
      </c>
      <c r="B86" s="893" t="s">
        <v>130</v>
      </c>
      <c r="C86" s="892"/>
      <c r="D86" s="962">
        <f t="shared" si="19"/>
        <v>1</v>
      </c>
      <c r="E86" s="892"/>
      <c r="F86" s="896">
        <f t="shared" si="16"/>
        <v>0</v>
      </c>
      <c r="G86" s="896"/>
      <c r="H86" s="897">
        <f t="shared" si="17"/>
        <v>0</v>
      </c>
      <c r="I86" s="897"/>
      <c r="J86" s="906">
        <f t="shared" si="18"/>
        <v>8</v>
      </c>
      <c r="K86" s="890"/>
      <c r="L86" s="896">
        <f t="shared" si="14"/>
        <v>0</v>
      </c>
      <c r="M86" s="896"/>
      <c r="N86" s="896"/>
      <c r="O86" s="896"/>
      <c r="P86" s="895">
        <f t="shared" si="15"/>
        <v>0</v>
      </c>
      <c r="Q86" s="883"/>
    </row>
    <row r="87" spans="1:17">
      <c r="A87" s="1331">
        <f t="shared" si="13"/>
        <v>83</v>
      </c>
      <c r="B87" s="893" t="s">
        <v>261</v>
      </c>
      <c r="C87" s="892"/>
      <c r="D87" s="962">
        <f t="shared" si="19"/>
        <v>1</v>
      </c>
      <c r="E87" s="892"/>
      <c r="F87" s="896">
        <f t="shared" si="16"/>
        <v>0</v>
      </c>
      <c r="G87" s="896"/>
      <c r="H87" s="897">
        <f t="shared" si="17"/>
        <v>0</v>
      </c>
      <c r="I87" s="897"/>
      <c r="J87" s="906">
        <f t="shared" si="18"/>
        <v>7</v>
      </c>
      <c r="K87" s="890"/>
      <c r="L87" s="896">
        <f t="shared" si="14"/>
        <v>0</v>
      </c>
      <c r="M87" s="896"/>
      <c r="N87" s="896"/>
      <c r="O87" s="896"/>
      <c r="P87" s="895">
        <f t="shared" si="15"/>
        <v>0</v>
      </c>
      <c r="Q87" s="883"/>
    </row>
    <row r="88" spans="1:17">
      <c r="A88" s="1331">
        <f t="shared" si="13"/>
        <v>84</v>
      </c>
      <c r="B88" s="893" t="s">
        <v>151</v>
      </c>
      <c r="C88" s="892"/>
      <c r="D88" s="962">
        <f t="shared" si="19"/>
        <v>1</v>
      </c>
      <c r="E88" s="892"/>
      <c r="F88" s="896">
        <f t="shared" si="16"/>
        <v>0</v>
      </c>
      <c r="G88" s="896"/>
      <c r="H88" s="897">
        <f t="shared" si="17"/>
        <v>0</v>
      </c>
      <c r="I88" s="897"/>
      <c r="J88" s="906">
        <f t="shared" si="18"/>
        <v>6</v>
      </c>
      <c r="K88" s="890"/>
      <c r="L88" s="896">
        <f t="shared" si="14"/>
        <v>0</v>
      </c>
      <c r="M88" s="896"/>
      <c r="N88" s="896"/>
      <c r="O88" s="896"/>
      <c r="P88" s="895">
        <f t="shared" si="15"/>
        <v>0</v>
      </c>
      <c r="Q88" s="883"/>
    </row>
    <row r="89" spans="1:17">
      <c r="A89" s="1331">
        <f t="shared" si="13"/>
        <v>85</v>
      </c>
      <c r="B89" s="893" t="s">
        <v>150</v>
      </c>
      <c r="C89" s="892"/>
      <c r="D89" s="962">
        <f t="shared" si="19"/>
        <v>1</v>
      </c>
      <c r="E89" s="892"/>
      <c r="F89" s="896">
        <f t="shared" si="16"/>
        <v>0</v>
      </c>
      <c r="G89" s="896"/>
      <c r="H89" s="897">
        <f t="shared" si="17"/>
        <v>0</v>
      </c>
      <c r="I89" s="897"/>
      <c r="J89" s="906">
        <f t="shared" si="18"/>
        <v>5</v>
      </c>
      <c r="K89" s="890"/>
      <c r="L89" s="896">
        <f t="shared" si="14"/>
        <v>0</v>
      </c>
      <c r="M89" s="896"/>
      <c r="N89" s="896"/>
      <c r="O89" s="896"/>
      <c r="P89" s="895">
        <f t="shared" si="15"/>
        <v>0</v>
      </c>
      <c r="Q89" s="883"/>
    </row>
    <row r="90" spans="1:17">
      <c r="A90" s="1331">
        <f t="shared" si="13"/>
        <v>86</v>
      </c>
      <c r="B90" s="893" t="s">
        <v>149</v>
      </c>
      <c r="C90" s="892"/>
      <c r="D90" s="962">
        <f t="shared" si="19"/>
        <v>1</v>
      </c>
      <c r="E90" s="892"/>
      <c r="F90" s="896">
        <f t="shared" si="16"/>
        <v>0</v>
      </c>
      <c r="G90" s="896"/>
      <c r="H90" s="897">
        <f t="shared" si="17"/>
        <v>0</v>
      </c>
      <c r="I90" s="897"/>
      <c r="J90" s="906">
        <f t="shared" si="18"/>
        <v>4</v>
      </c>
      <c r="K90" s="890"/>
      <c r="L90" s="896">
        <f t="shared" si="14"/>
        <v>0</v>
      </c>
      <c r="M90" s="896"/>
      <c r="N90" s="896"/>
      <c r="O90" s="896"/>
      <c r="P90" s="895">
        <f t="shared" si="15"/>
        <v>0</v>
      </c>
      <c r="Q90" s="883"/>
    </row>
    <row r="91" spans="1:17">
      <c r="A91" s="1331">
        <f t="shared" si="13"/>
        <v>87</v>
      </c>
      <c r="B91" s="893" t="s">
        <v>160</v>
      </c>
      <c r="C91" s="892"/>
      <c r="D91" s="962">
        <f t="shared" si="19"/>
        <v>1</v>
      </c>
      <c r="E91" s="892"/>
      <c r="F91" s="896">
        <f t="shared" si="16"/>
        <v>0</v>
      </c>
      <c r="G91" s="896"/>
      <c r="H91" s="897">
        <f t="shared" si="17"/>
        <v>0</v>
      </c>
      <c r="I91" s="897"/>
      <c r="J91" s="906">
        <f t="shared" si="18"/>
        <v>3</v>
      </c>
      <c r="K91" s="890"/>
      <c r="L91" s="896">
        <f t="shared" si="14"/>
        <v>0</v>
      </c>
      <c r="M91" s="896"/>
      <c r="N91" s="896"/>
      <c r="O91" s="896"/>
      <c r="P91" s="895">
        <f t="shared" si="15"/>
        <v>0</v>
      </c>
      <c r="Q91" s="883"/>
    </row>
    <row r="92" spans="1:17">
      <c r="A92" s="1331">
        <f t="shared" si="13"/>
        <v>88</v>
      </c>
      <c r="B92" s="893" t="s">
        <v>147</v>
      </c>
      <c r="C92" s="892"/>
      <c r="D92" s="962">
        <f t="shared" si="19"/>
        <v>1</v>
      </c>
      <c r="E92" s="892"/>
      <c r="F92" s="896">
        <f t="shared" si="16"/>
        <v>0</v>
      </c>
      <c r="G92" s="896"/>
      <c r="H92" s="897">
        <f t="shared" si="17"/>
        <v>0</v>
      </c>
      <c r="I92" s="897"/>
      <c r="J92" s="906">
        <f t="shared" si="18"/>
        <v>2</v>
      </c>
      <c r="K92" s="890"/>
      <c r="L92" s="896">
        <f t="shared" si="14"/>
        <v>0</v>
      </c>
      <c r="M92" s="896"/>
      <c r="N92" s="896"/>
      <c r="O92" s="896"/>
      <c r="P92" s="895">
        <f t="shared" si="15"/>
        <v>0</v>
      </c>
      <c r="Q92" s="883"/>
    </row>
    <row r="93" spans="1:17">
      <c r="A93" s="1331">
        <f t="shared" si="13"/>
        <v>89</v>
      </c>
      <c r="B93" s="893" t="s">
        <v>145</v>
      </c>
      <c r="C93" s="892"/>
      <c r="D93" s="962">
        <f t="shared" si="19"/>
        <v>1</v>
      </c>
      <c r="E93" s="892"/>
      <c r="F93" s="896">
        <f t="shared" si="16"/>
        <v>0</v>
      </c>
      <c r="G93" s="896"/>
      <c r="H93" s="897">
        <f t="shared" si="17"/>
        <v>0</v>
      </c>
      <c r="I93" s="897"/>
      <c r="J93" s="906">
        <f t="shared" si="18"/>
        <v>1</v>
      </c>
      <c r="K93" s="890"/>
      <c r="L93" s="899">
        <f t="shared" si="14"/>
        <v>0</v>
      </c>
      <c r="M93" s="896"/>
      <c r="N93" s="896"/>
      <c r="O93" s="896"/>
      <c r="P93" s="895">
        <f t="shared" si="15"/>
        <v>0</v>
      </c>
      <c r="Q93" s="883"/>
    </row>
    <row r="94" spans="1:17">
      <c r="A94" s="1331">
        <f t="shared" si="13"/>
        <v>90</v>
      </c>
      <c r="B94" s="893"/>
      <c r="C94" s="892"/>
      <c r="D94" s="892"/>
      <c r="E94" s="892"/>
      <c r="F94" s="896"/>
      <c r="G94" s="896"/>
      <c r="H94" s="897"/>
      <c r="I94" s="897"/>
      <c r="J94" s="890"/>
      <c r="K94" s="890"/>
      <c r="L94" s="896">
        <f>SUM(L82:L93)</f>
        <v>0</v>
      </c>
      <c r="M94" s="896"/>
      <c r="N94" s="896"/>
      <c r="O94" s="896"/>
      <c r="P94" s="904">
        <f>SUM(P82:P93)</f>
        <v>0</v>
      </c>
      <c r="Q94" s="883"/>
    </row>
    <row r="95" spans="1:17">
      <c r="A95" s="1331">
        <f t="shared" si="13"/>
        <v>91</v>
      </c>
      <c r="B95" s="893"/>
      <c r="C95" s="892"/>
      <c r="D95" s="892"/>
      <c r="E95" s="892"/>
      <c r="F95" s="896"/>
      <c r="G95" s="896"/>
      <c r="H95" s="897"/>
      <c r="I95" s="897"/>
      <c r="J95" s="890"/>
      <c r="K95" s="890"/>
      <c r="L95" s="896"/>
      <c r="M95" s="896"/>
      <c r="N95" s="896"/>
      <c r="O95" s="896"/>
      <c r="P95" s="904"/>
      <c r="Q95" s="883"/>
    </row>
    <row r="96" spans="1:17">
      <c r="A96" s="1331">
        <f t="shared" si="13"/>
        <v>92</v>
      </c>
      <c r="B96" s="893"/>
      <c r="C96" s="892"/>
      <c r="D96" s="892"/>
      <c r="E96" s="892"/>
      <c r="F96" s="896"/>
      <c r="G96" s="896"/>
      <c r="H96" s="897"/>
      <c r="I96" s="897"/>
      <c r="J96" s="890"/>
      <c r="K96" s="890"/>
      <c r="L96" s="901" t="s">
        <v>262</v>
      </c>
      <c r="M96" s="896"/>
      <c r="N96" s="896"/>
      <c r="O96" s="896"/>
      <c r="P96" s="904"/>
      <c r="Q96" s="883"/>
    </row>
    <row r="97" spans="1:17">
      <c r="A97" s="1331">
        <f t="shared" si="13"/>
        <v>93</v>
      </c>
      <c r="B97" s="893"/>
      <c r="C97" s="892"/>
      <c r="D97" s="892"/>
      <c r="E97" s="892"/>
      <c r="F97" s="896"/>
      <c r="G97" s="896"/>
      <c r="H97" s="897"/>
      <c r="I97" s="897"/>
      <c r="J97" s="890"/>
      <c r="K97" s="890"/>
      <c r="L97" s="901"/>
      <c r="M97" s="896"/>
      <c r="N97" s="896"/>
      <c r="O97" s="896"/>
      <c r="P97" s="904"/>
      <c r="Q97" s="883"/>
    </row>
    <row r="98" spans="1:17">
      <c r="A98" s="1331">
        <f t="shared" si="13"/>
        <v>94</v>
      </c>
      <c r="B98" s="893" t="s">
        <v>263</v>
      </c>
      <c r="C98" s="892"/>
      <c r="D98" s="963">
        <f>+D93+1</f>
        <v>2</v>
      </c>
      <c r="E98" s="892"/>
      <c r="F98" s="898">
        <f>P94</f>
        <v>0</v>
      </c>
      <c r="G98" s="898"/>
      <c r="H98" s="897">
        <f>+H50</f>
        <v>0</v>
      </c>
      <c r="I98" s="897"/>
      <c r="J98" s="905">
        <v>12</v>
      </c>
      <c r="K98" s="892"/>
      <c r="L98" s="896">
        <f>+J98*H98*F98</f>
        <v>0</v>
      </c>
      <c r="M98" s="896"/>
      <c r="N98" s="896"/>
      <c r="O98" s="896"/>
      <c r="P98" s="904">
        <f>+F98+L98</f>
        <v>0</v>
      </c>
      <c r="Q98" s="883"/>
    </row>
    <row r="99" spans="1:17">
      <c r="A99" s="1331">
        <f t="shared" si="13"/>
        <v>95</v>
      </c>
      <c r="B99" s="893" t="s">
        <v>263</v>
      </c>
      <c r="C99" s="892"/>
      <c r="D99" s="963">
        <f>+D98+1</f>
        <v>3</v>
      </c>
      <c r="E99" s="892"/>
      <c r="F99" s="898">
        <f>P98</f>
        <v>0</v>
      </c>
      <c r="G99" s="898"/>
      <c r="H99" s="897">
        <f>+H98</f>
        <v>0</v>
      </c>
      <c r="I99" s="897"/>
      <c r="J99" s="905">
        <v>12</v>
      </c>
      <c r="K99" s="892"/>
      <c r="L99" s="896">
        <f>+J99*H99*F99</f>
        <v>0</v>
      </c>
      <c r="M99" s="896"/>
      <c r="N99" s="896"/>
      <c r="O99" s="896"/>
      <c r="P99" s="904">
        <f>+F99+L99</f>
        <v>0</v>
      </c>
      <c r="Q99" s="883"/>
    </row>
    <row r="100" spans="1:17">
      <c r="A100" s="1331">
        <f t="shared" si="13"/>
        <v>96</v>
      </c>
      <c r="B100" s="893"/>
      <c r="C100" s="892"/>
      <c r="D100" s="963"/>
      <c r="E100" s="892"/>
      <c r="F100" s="898"/>
      <c r="G100" s="898"/>
      <c r="H100" s="897"/>
      <c r="I100" s="897"/>
      <c r="J100" s="905"/>
      <c r="K100" s="892"/>
      <c r="L100" s="896"/>
      <c r="M100" s="896"/>
      <c r="N100" s="896"/>
      <c r="O100" s="896"/>
      <c r="P100" s="904"/>
      <c r="Q100" s="883"/>
    </row>
    <row r="101" spans="1:17">
      <c r="A101" s="1331">
        <f t="shared" si="13"/>
        <v>97</v>
      </c>
      <c r="B101" s="893"/>
      <c r="C101" s="892"/>
      <c r="D101" s="963"/>
      <c r="E101" s="892"/>
      <c r="F101" s="898"/>
      <c r="G101" s="898"/>
      <c r="H101" s="897"/>
      <c r="I101" s="897"/>
      <c r="J101" s="905"/>
      <c r="K101" s="892"/>
      <c r="L101" s="896"/>
      <c r="M101" s="896"/>
      <c r="N101" s="896"/>
      <c r="O101" s="896"/>
      <c r="P101" s="904"/>
      <c r="Q101" s="883"/>
    </row>
    <row r="102" spans="1:17">
      <c r="A102" s="1331">
        <f t="shared" si="13"/>
        <v>98</v>
      </c>
      <c r="B102" s="893"/>
      <c r="C102" s="892"/>
      <c r="D102" s="963"/>
      <c r="E102" s="892"/>
      <c r="F102" s="898"/>
      <c r="G102" s="898"/>
      <c r="H102" s="897"/>
      <c r="I102" s="897"/>
      <c r="J102" s="892"/>
      <c r="K102" s="892"/>
      <c r="L102" s="896"/>
      <c r="M102" s="896"/>
      <c r="N102" s="896"/>
      <c r="O102" s="896"/>
      <c r="P102" s="904"/>
      <c r="Q102" s="883"/>
    </row>
    <row r="103" spans="1:17">
      <c r="A103" s="1331">
        <f t="shared" si="13"/>
        <v>99</v>
      </c>
      <c r="B103" s="893"/>
      <c r="C103" s="892"/>
      <c r="D103" s="892"/>
      <c r="E103" s="892"/>
      <c r="F103" s="898"/>
      <c r="G103" s="898"/>
      <c r="H103" s="897"/>
      <c r="I103" s="897"/>
      <c r="J103" s="892"/>
      <c r="K103" s="892"/>
      <c r="L103" s="896"/>
      <c r="M103" s="896"/>
      <c r="N103" s="896"/>
      <c r="O103" s="896"/>
      <c r="P103" s="895"/>
      <c r="Q103" s="883"/>
    </row>
    <row r="104" spans="1:17">
      <c r="A104" s="1331">
        <f t="shared" si="13"/>
        <v>100</v>
      </c>
      <c r="B104" s="903" t="s">
        <v>264</v>
      </c>
      <c r="C104" s="902"/>
      <c r="D104" s="892"/>
      <c r="E104" s="892"/>
      <c r="F104" s="896"/>
      <c r="G104" s="896"/>
      <c r="H104" s="897"/>
      <c r="I104" s="897"/>
      <c r="J104" s="892"/>
      <c r="K104" s="892"/>
      <c r="L104" s="901" t="s">
        <v>260</v>
      </c>
      <c r="M104" s="901"/>
      <c r="N104" s="896"/>
      <c r="O104" s="896"/>
      <c r="P104" s="895"/>
      <c r="Q104" s="883"/>
    </row>
    <row r="105" spans="1:17">
      <c r="A105" s="1331">
        <f t="shared" si="13"/>
        <v>101</v>
      </c>
      <c r="B105" s="893" t="s">
        <v>155</v>
      </c>
      <c r="C105" s="892"/>
      <c r="D105" s="962">
        <f>+D99+1</f>
        <v>4</v>
      </c>
      <c r="E105" s="892"/>
      <c r="F105" s="900">
        <f>+P99</f>
        <v>0</v>
      </c>
      <c r="G105" s="898"/>
      <c r="H105" s="897">
        <f>+H99</f>
        <v>0</v>
      </c>
      <c r="I105" s="897"/>
      <c r="J105" s="892"/>
      <c r="K105" s="892"/>
      <c r="L105" s="896">
        <f t="shared" ref="L105:L116" si="20" xml:space="preserve"> -H105*F105</f>
        <v>0</v>
      </c>
      <c r="M105" s="896"/>
      <c r="N105" s="896">
        <f>-PMT(H105,12,P99)</f>
        <v>0</v>
      </c>
      <c r="O105" s="896"/>
      <c r="P105" s="895">
        <f t="shared" ref="P105:P116" si="21">(+F105+F105*H105+N105)*-1</f>
        <v>0</v>
      </c>
      <c r="Q105" s="883"/>
    </row>
    <row r="106" spans="1:17">
      <c r="A106" s="1331">
        <f t="shared" si="13"/>
        <v>102</v>
      </c>
      <c r="B106" s="893" t="s">
        <v>154</v>
      </c>
      <c r="C106" s="892"/>
      <c r="D106" s="962">
        <f>+D105</f>
        <v>4</v>
      </c>
      <c r="E106" s="892"/>
      <c r="F106" s="898">
        <f t="shared" ref="F106:F116" si="22">-P105</f>
        <v>0</v>
      </c>
      <c r="G106" s="898"/>
      <c r="H106" s="897">
        <f t="shared" ref="H106:H116" si="23">+H105</f>
        <v>0</v>
      </c>
      <c r="I106" s="897"/>
      <c r="J106" s="892"/>
      <c r="K106" s="892"/>
      <c r="L106" s="896">
        <f t="shared" si="20"/>
        <v>0</v>
      </c>
      <c r="M106" s="896"/>
      <c r="N106" s="896">
        <f t="shared" ref="N106:N116" si="24">N105</f>
        <v>0</v>
      </c>
      <c r="O106" s="896"/>
      <c r="P106" s="895">
        <f t="shared" si="21"/>
        <v>0</v>
      </c>
      <c r="Q106" s="883"/>
    </row>
    <row r="107" spans="1:17">
      <c r="A107" s="1331">
        <f t="shared" si="13"/>
        <v>103</v>
      </c>
      <c r="B107" s="893" t="s">
        <v>153</v>
      </c>
      <c r="C107" s="892"/>
      <c r="D107" s="962">
        <f t="shared" ref="D107:D116" si="25">+D106</f>
        <v>4</v>
      </c>
      <c r="E107" s="892"/>
      <c r="F107" s="898">
        <f t="shared" si="22"/>
        <v>0</v>
      </c>
      <c r="G107" s="898"/>
      <c r="H107" s="897">
        <f t="shared" si="23"/>
        <v>0</v>
      </c>
      <c r="I107" s="897"/>
      <c r="J107" s="892"/>
      <c r="K107" s="892"/>
      <c r="L107" s="896">
        <f t="shared" si="20"/>
        <v>0</v>
      </c>
      <c r="M107" s="896"/>
      <c r="N107" s="896">
        <f t="shared" si="24"/>
        <v>0</v>
      </c>
      <c r="O107" s="896"/>
      <c r="P107" s="895">
        <f t="shared" si="21"/>
        <v>0</v>
      </c>
      <c r="Q107" s="883"/>
    </row>
    <row r="108" spans="1:17">
      <c r="A108" s="1331">
        <f t="shared" si="13"/>
        <v>104</v>
      </c>
      <c r="B108" s="893" t="s">
        <v>133</v>
      </c>
      <c r="C108" s="892"/>
      <c r="D108" s="962">
        <f t="shared" si="25"/>
        <v>4</v>
      </c>
      <c r="E108" s="892"/>
      <c r="F108" s="898">
        <f t="shared" si="22"/>
        <v>0</v>
      </c>
      <c r="G108" s="898"/>
      <c r="H108" s="897">
        <f t="shared" si="23"/>
        <v>0</v>
      </c>
      <c r="I108" s="897"/>
      <c r="J108" s="892"/>
      <c r="K108" s="892"/>
      <c r="L108" s="896">
        <f t="shared" si="20"/>
        <v>0</v>
      </c>
      <c r="M108" s="896"/>
      <c r="N108" s="896">
        <f t="shared" si="24"/>
        <v>0</v>
      </c>
      <c r="O108" s="896"/>
      <c r="P108" s="895">
        <f t="shared" si="21"/>
        <v>0</v>
      </c>
      <c r="Q108" s="883"/>
    </row>
    <row r="109" spans="1:17">
      <c r="A109" s="1331">
        <f t="shared" si="13"/>
        <v>105</v>
      </c>
      <c r="B109" s="893" t="s">
        <v>130</v>
      </c>
      <c r="C109" s="892"/>
      <c r="D109" s="962">
        <f t="shared" si="25"/>
        <v>4</v>
      </c>
      <c r="E109" s="892"/>
      <c r="F109" s="898">
        <f t="shared" si="22"/>
        <v>0</v>
      </c>
      <c r="G109" s="898"/>
      <c r="H109" s="897">
        <f t="shared" si="23"/>
        <v>0</v>
      </c>
      <c r="I109" s="897"/>
      <c r="J109" s="892"/>
      <c r="K109" s="892"/>
      <c r="L109" s="896">
        <f t="shared" si="20"/>
        <v>0</v>
      </c>
      <c r="M109" s="896"/>
      <c r="N109" s="896">
        <f t="shared" si="24"/>
        <v>0</v>
      </c>
      <c r="O109" s="896"/>
      <c r="P109" s="895">
        <f t="shared" si="21"/>
        <v>0</v>
      </c>
      <c r="Q109" s="883"/>
    </row>
    <row r="110" spans="1:17">
      <c r="A110" s="1331">
        <f t="shared" si="13"/>
        <v>106</v>
      </c>
      <c r="B110" s="893" t="s">
        <v>261</v>
      </c>
      <c r="C110" s="892"/>
      <c r="D110" s="962">
        <f t="shared" si="25"/>
        <v>4</v>
      </c>
      <c r="E110" s="892"/>
      <c r="F110" s="898">
        <f t="shared" si="22"/>
        <v>0</v>
      </c>
      <c r="G110" s="898"/>
      <c r="H110" s="897">
        <f t="shared" si="23"/>
        <v>0</v>
      </c>
      <c r="I110" s="897"/>
      <c r="J110" s="892"/>
      <c r="K110" s="892"/>
      <c r="L110" s="896">
        <f t="shared" si="20"/>
        <v>0</v>
      </c>
      <c r="M110" s="896"/>
      <c r="N110" s="896">
        <f t="shared" si="24"/>
        <v>0</v>
      </c>
      <c r="O110" s="896"/>
      <c r="P110" s="895">
        <f t="shared" si="21"/>
        <v>0</v>
      </c>
      <c r="Q110" s="883"/>
    </row>
    <row r="111" spans="1:17">
      <c r="A111" s="1331">
        <f t="shared" si="13"/>
        <v>107</v>
      </c>
      <c r="B111" s="893" t="s">
        <v>151</v>
      </c>
      <c r="C111" s="892"/>
      <c r="D111" s="962">
        <f t="shared" si="25"/>
        <v>4</v>
      </c>
      <c r="E111" s="892"/>
      <c r="F111" s="898">
        <f t="shared" si="22"/>
        <v>0</v>
      </c>
      <c r="G111" s="898"/>
      <c r="H111" s="897">
        <f t="shared" si="23"/>
        <v>0</v>
      </c>
      <c r="I111" s="897"/>
      <c r="J111" s="892"/>
      <c r="K111" s="892"/>
      <c r="L111" s="896">
        <f t="shared" si="20"/>
        <v>0</v>
      </c>
      <c r="M111" s="896"/>
      <c r="N111" s="896">
        <f t="shared" si="24"/>
        <v>0</v>
      </c>
      <c r="O111" s="896"/>
      <c r="P111" s="895">
        <f t="shared" si="21"/>
        <v>0</v>
      </c>
      <c r="Q111" s="883"/>
    </row>
    <row r="112" spans="1:17">
      <c r="A112" s="1331">
        <f t="shared" si="13"/>
        <v>108</v>
      </c>
      <c r="B112" s="893" t="s">
        <v>150</v>
      </c>
      <c r="C112" s="892"/>
      <c r="D112" s="962">
        <f t="shared" si="25"/>
        <v>4</v>
      </c>
      <c r="E112" s="892"/>
      <c r="F112" s="898">
        <f t="shared" si="22"/>
        <v>0</v>
      </c>
      <c r="G112" s="898"/>
      <c r="H112" s="897">
        <f t="shared" si="23"/>
        <v>0</v>
      </c>
      <c r="I112" s="897"/>
      <c r="J112" s="892"/>
      <c r="K112" s="892"/>
      <c r="L112" s="896">
        <f t="shared" si="20"/>
        <v>0</v>
      </c>
      <c r="M112" s="896"/>
      <c r="N112" s="896">
        <f t="shared" si="24"/>
        <v>0</v>
      </c>
      <c r="O112" s="896"/>
      <c r="P112" s="895">
        <f t="shared" si="21"/>
        <v>0</v>
      </c>
      <c r="Q112" s="883"/>
    </row>
    <row r="113" spans="1:17">
      <c r="A113" s="1331">
        <f t="shared" si="13"/>
        <v>109</v>
      </c>
      <c r="B113" s="893" t="s">
        <v>149</v>
      </c>
      <c r="C113" s="892"/>
      <c r="D113" s="962">
        <f t="shared" si="25"/>
        <v>4</v>
      </c>
      <c r="E113" s="892"/>
      <c r="F113" s="898">
        <f t="shared" si="22"/>
        <v>0</v>
      </c>
      <c r="G113" s="898"/>
      <c r="H113" s="897">
        <f t="shared" si="23"/>
        <v>0</v>
      </c>
      <c r="I113" s="897"/>
      <c r="J113" s="892"/>
      <c r="K113" s="892"/>
      <c r="L113" s="896">
        <f t="shared" si="20"/>
        <v>0</v>
      </c>
      <c r="M113" s="896"/>
      <c r="N113" s="896">
        <f t="shared" si="24"/>
        <v>0</v>
      </c>
      <c r="O113" s="896"/>
      <c r="P113" s="895">
        <f t="shared" si="21"/>
        <v>0</v>
      </c>
      <c r="Q113" s="883"/>
    </row>
    <row r="114" spans="1:17">
      <c r="A114" s="1331">
        <f t="shared" si="13"/>
        <v>110</v>
      </c>
      <c r="B114" s="893" t="s">
        <v>160</v>
      </c>
      <c r="C114" s="892"/>
      <c r="D114" s="962">
        <f t="shared" si="25"/>
        <v>4</v>
      </c>
      <c r="E114" s="892"/>
      <c r="F114" s="898">
        <f t="shared" si="22"/>
        <v>0</v>
      </c>
      <c r="G114" s="898"/>
      <c r="H114" s="897">
        <f t="shared" si="23"/>
        <v>0</v>
      </c>
      <c r="I114" s="897"/>
      <c r="J114" s="892"/>
      <c r="K114" s="892"/>
      <c r="L114" s="896">
        <f t="shared" si="20"/>
        <v>0</v>
      </c>
      <c r="M114" s="896"/>
      <c r="N114" s="896">
        <f t="shared" si="24"/>
        <v>0</v>
      </c>
      <c r="O114" s="896"/>
      <c r="P114" s="895">
        <f t="shared" si="21"/>
        <v>0</v>
      </c>
      <c r="Q114" s="883"/>
    </row>
    <row r="115" spans="1:17">
      <c r="A115" s="1331">
        <f t="shared" si="13"/>
        <v>111</v>
      </c>
      <c r="B115" s="893" t="s">
        <v>147</v>
      </c>
      <c r="C115" s="892"/>
      <c r="D115" s="962">
        <f t="shared" si="25"/>
        <v>4</v>
      </c>
      <c r="E115" s="892"/>
      <c r="F115" s="898">
        <f t="shared" si="22"/>
        <v>0</v>
      </c>
      <c r="G115" s="898"/>
      <c r="H115" s="897">
        <f t="shared" si="23"/>
        <v>0</v>
      </c>
      <c r="I115" s="897"/>
      <c r="J115" s="892"/>
      <c r="K115" s="892"/>
      <c r="L115" s="896">
        <f t="shared" si="20"/>
        <v>0</v>
      </c>
      <c r="M115" s="896"/>
      <c r="N115" s="896">
        <f t="shared" si="24"/>
        <v>0</v>
      </c>
      <c r="O115" s="896"/>
      <c r="P115" s="895">
        <f t="shared" si="21"/>
        <v>0</v>
      </c>
      <c r="Q115" s="883"/>
    </row>
    <row r="116" spans="1:17">
      <c r="A116" s="1331">
        <f t="shared" si="13"/>
        <v>112</v>
      </c>
      <c r="B116" s="893" t="s">
        <v>145</v>
      </c>
      <c r="C116" s="892"/>
      <c r="D116" s="962">
        <f t="shared" si="25"/>
        <v>4</v>
      </c>
      <c r="E116" s="892"/>
      <c r="F116" s="898">
        <f t="shared" si="22"/>
        <v>0</v>
      </c>
      <c r="G116" s="898"/>
      <c r="H116" s="897">
        <f t="shared" si="23"/>
        <v>0</v>
      </c>
      <c r="I116" s="897"/>
      <c r="J116" s="892"/>
      <c r="K116" s="892"/>
      <c r="L116" s="899">
        <f t="shared" si="20"/>
        <v>0</v>
      </c>
      <c r="M116" s="896"/>
      <c r="N116" s="896">
        <f t="shared" si="24"/>
        <v>0</v>
      </c>
      <c r="O116" s="896"/>
      <c r="P116" s="895">
        <f t="shared" si="21"/>
        <v>0</v>
      </c>
      <c r="Q116" s="883"/>
    </row>
    <row r="117" spans="1:17">
      <c r="A117" s="1331">
        <f t="shared" si="13"/>
        <v>113</v>
      </c>
      <c r="B117" s="893"/>
      <c r="C117" s="892"/>
      <c r="D117" s="892"/>
      <c r="E117" s="892"/>
      <c r="F117" s="898"/>
      <c r="G117" s="898"/>
      <c r="H117" s="897"/>
      <c r="I117" s="897"/>
      <c r="J117" s="892"/>
      <c r="K117" s="892"/>
      <c r="L117" s="896">
        <f>SUM(L105:L116)</f>
        <v>0</v>
      </c>
      <c r="M117" s="896"/>
      <c r="N117" s="896"/>
      <c r="O117" s="896"/>
      <c r="P117" s="895"/>
      <c r="Q117" s="883"/>
    </row>
    <row r="118" spans="1:17">
      <c r="A118" s="1331">
        <f t="shared" si="13"/>
        <v>114</v>
      </c>
      <c r="B118" s="894"/>
      <c r="C118" s="890"/>
      <c r="D118" s="890"/>
      <c r="E118" s="890"/>
      <c r="F118" s="890"/>
      <c r="G118" s="890"/>
      <c r="H118" s="890"/>
      <c r="I118" s="890"/>
      <c r="J118" s="890"/>
      <c r="K118" s="890"/>
      <c r="L118" s="890"/>
      <c r="M118" s="890"/>
      <c r="N118" s="890"/>
      <c r="O118" s="890"/>
      <c r="P118" s="889"/>
      <c r="Q118" s="883"/>
    </row>
    <row r="119" spans="1:17">
      <c r="A119" s="1331">
        <f t="shared" si="13"/>
        <v>115</v>
      </c>
      <c r="B119" s="893" t="s">
        <v>582</v>
      </c>
      <c r="C119" s="892"/>
      <c r="D119" s="890"/>
      <c r="E119" s="890"/>
      <c r="F119" s="890"/>
      <c r="G119" s="890"/>
      <c r="H119" s="890"/>
      <c r="I119" s="890"/>
      <c r="J119" s="890"/>
      <c r="K119" s="890"/>
      <c r="L119" s="890"/>
      <c r="M119" s="890"/>
      <c r="N119" s="891">
        <f>SUM(N105:N116)</f>
        <v>0</v>
      </c>
      <c r="O119" s="890"/>
      <c r="P119" s="889"/>
      <c r="Q119" s="883"/>
    </row>
    <row r="120" spans="1:17">
      <c r="A120" s="1331">
        <f t="shared" si="13"/>
        <v>116</v>
      </c>
      <c r="B120" s="893" t="s">
        <v>265</v>
      </c>
      <c r="C120" s="892"/>
      <c r="D120" s="890"/>
      <c r="E120" s="890"/>
      <c r="F120" s="890"/>
      <c r="G120" s="890"/>
      <c r="H120" s="890"/>
      <c r="I120" s="890"/>
      <c r="J120" s="890"/>
      <c r="K120" s="890"/>
      <c r="L120" s="890"/>
      <c r="M120" s="890"/>
      <c r="N120" s="891">
        <f>L11</f>
        <v>0</v>
      </c>
      <c r="O120" s="890"/>
      <c r="P120" s="889"/>
      <c r="Q120" s="883"/>
    </row>
    <row r="121" spans="1:17">
      <c r="A121" s="1331">
        <f t="shared" si="13"/>
        <v>117</v>
      </c>
      <c r="B121" s="888" t="s">
        <v>266</v>
      </c>
      <c r="C121" s="887"/>
      <c r="D121" s="885"/>
      <c r="E121" s="885"/>
      <c r="F121" s="885"/>
      <c r="G121" s="885"/>
      <c r="H121" s="885"/>
      <c r="I121" s="885"/>
      <c r="J121" s="885"/>
      <c r="K121" s="885"/>
      <c r="L121" s="885"/>
      <c r="M121" s="885"/>
      <c r="N121" s="886">
        <f>(N119+N120)</f>
        <v>0</v>
      </c>
      <c r="O121" s="885"/>
      <c r="P121" s="884"/>
      <c r="Q121" s="883"/>
    </row>
    <row r="122" spans="1:17">
      <c r="A122" s="1331">
        <f t="shared" si="13"/>
        <v>118</v>
      </c>
      <c r="Q122" s="883"/>
    </row>
    <row r="123" spans="1:17">
      <c r="A123" s="1331">
        <f t="shared" si="13"/>
        <v>119</v>
      </c>
      <c r="Q123" s="883"/>
    </row>
    <row r="124" spans="1:17">
      <c r="A124" s="1331">
        <f t="shared" si="13"/>
        <v>120</v>
      </c>
      <c r="B124" s="918" t="s">
        <v>593</v>
      </c>
      <c r="C124" s="917"/>
      <c r="D124" s="914"/>
      <c r="E124" s="914"/>
      <c r="F124" s="914"/>
      <c r="G124" s="914"/>
      <c r="H124" s="916"/>
      <c r="I124" s="916"/>
      <c r="J124" s="916"/>
      <c r="K124" s="916"/>
      <c r="L124" s="915"/>
      <c r="M124" s="915"/>
      <c r="N124" s="914"/>
      <c r="O124" s="914"/>
      <c r="P124" s="913"/>
      <c r="Q124" s="883"/>
    </row>
    <row r="125" spans="1:17">
      <c r="A125" s="1331">
        <f t="shared" si="13"/>
        <v>121</v>
      </c>
      <c r="B125" s="912"/>
      <c r="C125" s="910"/>
      <c r="D125" s="908"/>
      <c r="E125" s="908"/>
      <c r="F125" s="908"/>
      <c r="G125" s="908"/>
      <c r="H125" s="892"/>
      <c r="I125" s="892"/>
      <c r="J125" s="892"/>
      <c r="K125" s="892"/>
      <c r="L125" s="909" t="s">
        <v>260</v>
      </c>
      <c r="M125" s="909"/>
      <c r="N125" s="908"/>
      <c r="O125" s="908"/>
      <c r="P125" s="907"/>
      <c r="Q125" s="883"/>
    </row>
    <row r="126" spans="1:17">
      <c r="A126" s="1331">
        <f t="shared" si="13"/>
        <v>122</v>
      </c>
      <c r="B126" s="911"/>
      <c r="C126" s="910"/>
      <c r="D126" s="908"/>
      <c r="E126" s="908"/>
      <c r="F126" s="908"/>
      <c r="G126" s="908"/>
      <c r="H126" s="892"/>
      <c r="I126" s="892"/>
      <c r="J126" s="892"/>
      <c r="K126" s="892"/>
      <c r="L126" s="909"/>
      <c r="M126" s="909"/>
      <c r="N126" s="908"/>
      <c r="O126" s="908"/>
      <c r="P126" s="907"/>
      <c r="Q126" s="883"/>
    </row>
    <row r="127" spans="1:17">
      <c r="A127" s="1331">
        <f t="shared" si="13"/>
        <v>123</v>
      </c>
      <c r="B127" s="893" t="s">
        <v>155</v>
      </c>
      <c r="C127" s="892"/>
      <c r="D127" s="962">
        <f>+D98</f>
        <v>2</v>
      </c>
      <c r="E127" s="892"/>
      <c r="F127" s="896">
        <f>L12/12</f>
        <v>0</v>
      </c>
      <c r="G127" s="896"/>
      <c r="H127" s="897">
        <f>N12</f>
        <v>0</v>
      </c>
      <c r="I127" s="897"/>
      <c r="J127" s="905">
        <v>12</v>
      </c>
      <c r="K127" s="892"/>
      <c r="L127" s="896">
        <f t="shared" ref="L127:L138" si="26">H127*F127*J127*-1</f>
        <v>0</v>
      </c>
      <c r="M127" s="896"/>
      <c r="N127" s="896"/>
      <c r="O127" s="896"/>
      <c r="P127" s="895">
        <f t="shared" ref="P127:P138" si="27">(-L127+F127)*-1</f>
        <v>0</v>
      </c>
      <c r="Q127" s="883"/>
    </row>
    <row r="128" spans="1:17">
      <c r="A128" s="1331">
        <f t="shared" si="13"/>
        <v>124</v>
      </c>
      <c r="B128" s="893" t="s">
        <v>154</v>
      </c>
      <c r="C128" s="892"/>
      <c r="D128" s="962">
        <f>+D127</f>
        <v>2</v>
      </c>
      <c r="E128" s="892"/>
      <c r="F128" s="896">
        <f t="shared" ref="F128:F138" si="28">+F127</f>
        <v>0</v>
      </c>
      <c r="G128" s="896"/>
      <c r="H128" s="897">
        <f t="shared" ref="H128:H138" si="29">+H127</f>
        <v>0</v>
      </c>
      <c r="I128" s="897"/>
      <c r="J128" s="906">
        <f t="shared" ref="J128:J138" si="30">+J127-1</f>
        <v>11</v>
      </c>
      <c r="K128" s="890"/>
      <c r="L128" s="896">
        <f t="shared" si="26"/>
        <v>0</v>
      </c>
      <c r="M128" s="896"/>
      <c r="N128" s="896"/>
      <c r="O128" s="896"/>
      <c r="P128" s="895">
        <f t="shared" si="27"/>
        <v>0</v>
      </c>
      <c r="Q128" s="883"/>
    </row>
    <row r="129" spans="1:17">
      <c r="A129" s="1331">
        <f t="shared" si="13"/>
        <v>125</v>
      </c>
      <c r="B129" s="893" t="s">
        <v>153</v>
      </c>
      <c r="C129" s="892"/>
      <c r="D129" s="962">
        <f t="shared" ref="D129:D138" si="31">+D128</f>
        <v>2</v>
      </c>
      <c r="E129" s="892"/>
      <c r="F129" s="896">
        <f t="shared" si="28"/>
        <v>0</v>
      </c>
      <c r="G129" s="896"/>
      <c r="H129" s="897">
        <f t="shared" si="29"/>
        <v>0</v>
      </c>
      <c r="I129" s="897"/>
      <c r="J129" s="906">
        <f t="shared" si="30"/>
        <v>10</v>
      </c>
      <c r="K129" s="890"/>
      <c r="L129" s="896">
        <f t="shared" si="26"/>
        <v>0</v>
      </c>
      <c r="M129" s="896"/>
      <c r="N129" s="896"/>
      <c r="O129" s="896"/>
      <c r="P129" s="895">
        <f t="shared" si="27"/>
        <v>0</v>
      </c>
      <c r="Q129" s="883"/>
    </row>
    <row r="130" spans="1:17">
      <c r="A130" s="1331">
        <f t="shared" si="13"/>
        <v>126</v>
      </c>
      <c r="B130" s="893" t="s">
        <v>133</v>
      </c>
      <c r="C130" s="892"/>
      <c r="D130" s="962">
        <f t="shared" si="31"/>
        <v>2</v>
      </c>
      <c r="E130" s="892"/>
      <c r="F130" s="896">
        <f t="shared" si="28"/>
        <v>0</v>
      </c>
      <c r="G130" s="896"/>
      <c r="H130" s="897">
        <f t="shared" si="29"/>
        <v>0</v>
      </c>
      <c r="I130" s="897"/>
      <c r="J130" s="906">
        <f t="shared" si="30"/>
        <v>9</v>
      </c>
      <c r="K130" s="890"/>
      <c r="L130" s="896">
        <f t="shared" si="26"/>
        <v>0</v>
      </c>
      <c r="M130" s="896"/>
      <c r="N130" s="896"/>
      <c r="O130" s="896"/>
      <c r="P130" s="895">
        <f t="shared" si="27"/>
        <v>0</v>
      </c>
      <c r="Q130" s="883"/>
    </row>
    <row r="131" spans="1:17">
      <c r="A131" s="1331">
        <f t="shared" si="13"/>
        <v>127</v>
      </c>
      <c r="B131" s="893" t="s">
        <v>130</v>
      </c>
      <c r="C131" s="892"/>
      <c r="D131" s="962">
        <f t="shared" si="31"/>
        <v>2</v>
      </c>
      <c r="E131" s="892"/>
      <c r="F131" s="896">
        <f t="shared" si="28"/>
        <v>0</v>
      </c>
      <c r="G131" s="896"/>
      <c r="H131" s="897">
        <f t="shared" si="29"/>
        <v>0</v>
      </c>
      <c r="I131" s="897"/>
      <c r="J131" s="906">
        <f t="shared" si="30"/>
        <v>8</v>
      </c>
      <c r="K131" s="890"/>
      <c r="L131" s="896">
        <f t="shared" si="26"/>
        <v>0</v>
      </c>
      <c r="M131" s="896"/>
      <c r="N131" s="896"/>
      <c r="O131" s="896"/>
      <c r="P131" s="895">
        <f t="shared" si="27"/>
        <v>0</v>
      </c>
      <c r="Q131" s="883"/>
    </row>
    <row r="132" spans="1:17">
      <c r="A132" s="1331">
        <f t="shared" si="13"/>
        <v>128</v>
      </c>
      <c r="B132" s="893" t="s">
        <v>261</v>
      </c>
      <c r="C132" s="892"/>
      <c r="D132" s="962">
        <f t="shared" si="31"/>
        <v>2</v>
      </c>
      <c r="E132" s="892"/>
      <c r="F132" s="896">
        <f t="shared" si="28"/>
        <v>0</v>
      </c>
      <c r="G132" s="896"/>
      <c r="H132" s="897">
        <f t="shared" si="29"/>
        <v>0</v>
      </c>
      <c r="I132" s="897"/>
      <c r="J132" s="906">
        <f t="shared" si="30"/>
        <v>7</v>
      </c>
      <c r="K132" s="890"/>
      <c r="L132" s="896">
        <f t="shared" si="26"/>
        <v>0</v>
      </c>
      <c r="M132" s="896"/>
      <c r="N132" s="896"/>
      <c r="O132" s="896"/>
      <c r="P132" s="895">
        <f t="shared" si="27"/>
        <v>0</v>
      </c>
      <c r="Q132" s="883"/>
    </row>
    <row r="133" spans="1:17">
      <c r="A133" s="1331">
        <f t="shared" si="13"/>
        <v>129</v>
      </c>
      <c r="B133" s="893" t="s">
        <v>151</v>
      </c>
      <c r="C133" s="892"/>
      <c r="D133" s="962">
        <f t="shared" si="31"/>
        <v>2</v>
      </c>
      <c r="E133" s="892"/>
      <c r="F133" s="896">
        <f t="shared" si="28"/>
        <v>0</v>
      </c>
      <c r="G133" s="896"/>
      <c r="H133" s="897">
        <f t="shared" si="29"/>
        <v>0</v>
      </c>
      <c r="I133" s="897"/>
      <c r="J133" s="906">
        <f t="shared" si="30"/>
        <v>6</v>
      </c>
      <c r="K133" s="890"/>
      <c r="L133" s="896">
        <f t="shared" si="26"/>
        <v>0</v>
      </c>
      <c r="M133" s="896"/>
      <c r="N133" s="896"/>
      <c r="O133" s="896"/>
      <c r="P133" s="895">
        <f t="shared" si="27"/>
        <v>0</v>
      </c>
      <c r="Q133" s="883"/>
    </row>
    <row r="134" spans="1:17">
      <c r="A134" s="1331">
        <f t="shared" si="13"/>
        <v>130</v>
      </c>
      <c r="B134" s="893" t="s">
        <v>150</v>
      </c>
      <c r="C134" s="892"/>
      <c r="D134" s="962">
        <f t="shared" si="31"/>
        <v>2</v>
      </c>
      <c r="E134" s="892"/>
      <c r="F134" s="896">
        <f t="shared" si="28"/>
        <v>0</v>
      </c>
      <c r="G134" s="896"/>
      <c r="H134" s="897">
        <f t="shared" si="29"/>
        <v>0</v>
      </c>
      <c r="I134" s="897"/>
      <c r="J134" s="906">
        <f t="shared" si="30"/>
        <v>5</v>
      </c>
      <c r="K134" s="890"/>
      <c r="L134" s="896">
        <f t="shared" si="26"/>
        <v>0</v>
      </c>
      <c r="M134" s="896"/>
      <c r="N134" s="896"/>
      <c r="O134" s="896"/>
      <c r="P134" s="895">
        <f t="shared" si="27"/>
        <v>0</v>
      </c>
      <c r="Q134" s="883"/>
    </row>
    <row r="135" spans="1:17">
      <c r="A135" s="1331">
        <f t="shared" ref="A135:A165" si="32">+A134+1</f>
        <v>131</v>
      </c>
      <c r="B135" s="893" t="s">
        <v>149</v>
      </c>
      <c r="C135" s="892"/>
      <c r="D135" s="962">
        <f t="shared" si="31"/>
        <v>2</v>
      </c>
      <c r="E135" s="892"/>
      <c r="F135" s="896">
        <f t="shared" si="28"/>
        <v>0</v>
      </c>
      <c r="G135" s="896"/>
      <c r="H135" s="897">
        <f t="shared" si="29"/>
        <v>0</v>
      </c>
      <c r="I135" s="897"/>
      <c r="J135" s="906">
        <f t="shared" si="30"/>
        <v>4</v>
      </c>
      <c r="K135" s="890"/>
      <c r="L135" s="896">
        <f t="shared" si="26"/>
        <v>0</v>
      </c>
      <c r="M135" s="896"/>
      <c r="N135" s="896"/>
      <c r="O135" s="896"/>
      <c r="P135" s="895">
        <f t="shared" si="27"/>
        <v>0</v>
      </c>
      <c r="Q135" s="883"/>
    </row>
    <row r="136" spans="1:17">
      <c r="A136" s="1331">
        <f t="shared" si="32"/>
        <v>132</v>
      </c>
      <c r="B136" s="893" t="s">
        <v>160</v>
      </c>
      <c r="C136" s="892"/>
      <c r="D136" s="962">
        <f t="shared" si="31"/>
        <v>2</v>
      </c>
      <c r="E136" s="892"/>
      <c r="F136" s="896">
        <f t="shared" si="28"/>
        <v>0</v>
      </c>
      <c r="G136" s="896"/>
      <c r="H136" s="897">
        <f t="shared" si="29"/>
        <v>0</v>
      </c>
      <c r="I136" s="897"/>
      <c r="J136" s="906">
        <f t="shared" si="30"/>
        <v>3</v>
      </c>
      <c r="K136" s="890"/>
      <c r="L136" s="896">
        <f t="shared" si="26"/>
        <v>0</v>
      </c>
      <c r="M136" s="896"/>
      <c r="N136" s="896"/>
      <c r="O136" s="896"/>
      <c r="P136" s="895">
        <f t="shared" si="27"/>
        <v>0</v>
      </c>
      <c r="Q136" s="883"/>
    </row>
    <row r="137" spans="1:17">
      <c r="A137" s="1331">
        <f t="shared" si="32"/>
        <v>133</v>
      </c>
      <c r="B137" s="893" t="s">
        <v>147</v>
      </c>
      <c r="C137" s="892"/>
      <c r="D137" s="962">
        <f t="shared" si="31"/>
        <v>2</v>
      </c>
      <c r="E137" s="892"/>
      <c r="F137" s="896">
        <f t="shared" si="28"/>
        <v>0</v>
      </c>
      <c r="G137" s="896"/>
      <c r="H137" s="897">
        <f t="shared" si="29"/>
        <v>0</v>
      </c>
      <c r="I137" s="897"/>
      <c r="J137" s="906">
        <f t="shared" si="30"/>
        <v>2</v>
      </c>
      <c r="K137" s="890"/>
      <c r="L137" s="896">
        <f t="shared" si="26"/>
        <v>0</v>
      </c>
      <c r="M137" s="896"/>
      <c r="N137" s="896"/>
      <c r="O137" s="896"/>
      <c r="P137" s="895">
        <f t="shared" si="27"/>
        <v>0</v>
      </c>
      <c r="Q137" s="883"/>
    </row>
    <row r="138" spans="1:17">
      <c r="A138" s="1331">
        <f t="shared" si="32"/>
        <v>134</v>
      </c>
      <c r="B138" s="893" t="s">
        <v>145</v>
      </c>
      <c r="C138" s="892"/>
      <c r="D138" s="962">
        <f t="shared" si="31"/>
        <v>2</v>
      </c>
      <c r="E138" s="892"/>
      <c r="F138" s="896">
        <f t="shared" si="28"/>
        <v>0</v>
      </c>
      <c r="G138" s="896"/>
      <c r="H138" s="897">
        <f t="shared" si="29"/>
        <v>0</v>
      </c>
      <c r="I138" s="897"/>
      <c r="J138" s="906">
        <f t="shared" si="30"/>
        <v>1</v>
      </c>
      <c r="K138" s="890"/>
      <c r="L138" s="899">
        <f t="shared" si="26"/>
        <v>0</v>
      </c>
      <c r="M138" s="896"/>
      <c r="N138" s="896"/>
      <c r="O138" s="896"/>
      <c r="P138" s="895">
        <f t="shared" si="27"/>
        <v>0</v>
      </c>
      <c r="Q138" s="883"/>
    </row>
    <row r="139" spans="1:17">
      <c r="A139" s="1331">
        <f t="shared" si="32"/>
        <v>135</v>
      </c>
      <c r="B139" s="893"/>
      <c r="C139" s="892"/>
      <c r="D139" s="892"/>
      <c r="E139" s="892"/>
      <c r="F139" s="896"/>
      <c r="G139" s="896"/>
      <c r="H139" s="897"/>
      <c r="I139" s="897"/>
      <c r="J139" s="890"/>
      <c r="K139" s="890"/>
      <c r="L139" s="896">
        <f>SUM(L127:L138)</f>
        <v>0</v>
      </c>
      <c r="M139" s="896"/>
      <c r="N139" s="896"/>
      <c r="O139" s="896"/>
      <c r="P139" s="904">
        <f>SUM(P127:P138)</f>
        <v>0</v>
      </c>
      <c r="Q139" s="883"/>
    </row>
    <row r="140" spans="1:17">
      <c r="A140" s="1331">
        <f t="shared" si="32"/>
        <v>136</v>
      </c>
      <c r="B140" s="893"/>
      <c r="C140" s="892"/>
      <c r="D140" s="892"/>
      <c r="E140" s="892"/>
      <c r="F140" s="896"/>
      <c r="G140" s="896"/>
      <c r="H140" s="897"/>
      <c r="I140" s="897"/>
      <c r="J140" s="890"/>
      <c r="K140" s="890"/>
      <c r="L140" s="896"/>
      <c r="M140" s="896"/>
      <c r="N140" s="896"/>
      <c r="O140" s="896"/>
      <c r="P140" s="904"/>
      <c r="Q140" s="883"/>
    </row>
    <row r="141" spans="1:17">
      <c r="A141" s="1331">
        <f t="shared" si="32"/>
        <v>137</v>
      </c>
      <c r="B141" s="893"/>
      <c r="C141" s="892"/>
      <c r="D141" s="892"/>
      <c r="E141" s="892"/>
      <c r="F141" s="896"/>
      <c r="G141" s="896"/>
      <c r="H141" s="897"/>
      <c r="I141" s="897"/>
      <c r="J141" s="890"/>
      <c r="K141" s="890"/>
      <c r="L141" s="901" t="s">
        <v>262</v>
      </c>
      <c r="M141" s="896"/>
      <c r="N141" s="896"/>
      <c r="O141" s="896"/>
      <c r="P141" s="904"/>
      <c r="Q141" s="883"/>
    </row>
    <row r="142" spans="1:17">
      <c r="A142" s="1331">
        <f t="shared" si="32"/>
        <v>138</v>
      </c>
      <c r="B142" s="893"/>
      <c r="C142" s="892"/>
      <c r="D142" s="892"/>
      <c r="E142" s="892"/>
      <c r="F142" s="896"/>
      <c r="G142" s="896"/>
      <c r="H142" s="897"/>
      <c r="I142" s="897"/>
      <c r="J142" s="890"/>
      <c r="K142" s="890"/>
      <c r="L142" s="901"/>
      <c r="M142" s="896"/>
      <c r="N142" s="896"/>
      <c r="O142" s="896"/>
      <c r="P142" s="904"/>
      <c r="Q142" s="883"/>
    </row>
    <row r="143" spans="1:17">
      <c r="A143" s="1331">
        <f t="shared" si="32"/>
        <v>139</v>
      </c>
      <c r="B143" s="893" t="s">
        <v>263</v>
      </c>
      <c r="C143" s="892"/>
      <c r="D143" s="963">
        <f>+D138+1</f>
        <v>3</v>
      </c>
      <c r="E143" s="892"/>
      <c r="F143" s="898">
        <f>P139</f>
        <v>0</v>
      </c>
      <c r="G143" s="898"/>
      <c r="H143" s="897">
        <f>+H138</f>
        <v>0</v>
      </c>
      <c r="I143" s="897"/>
      <c r="J143" s="905">
        <v>12</v>
      </c>
      <c r="K143" s="892"/>
      <c r="L143" s="896">
        <f>+J143*H143*F143</f>
        <v>0</v>
      </c>
      <c r="M143" s="896"/>
      <c r="N143" s="896"/>
      <c r="O143" s="896"/>
      <c r="P143" s="904">
        <f>+F143+L143</f>
        <v>0</v>
      </c>
      <c r="Q143" s="883"/>
    </row>
    <row r="144" spans="1:17">
      <c r="A144" s="1331">
        <f t="shared" si="32"/>
        <v>140</v>
      </c>
      <c r="B144" s="893"/>
      <c r="C144" s="892"/>
      <c r="D144" s="963"/>
      <c r="E144" s="892"/>
      <c r="F144" s="898"/>
      <c r="G144" s="898"/>
      <c r="H144" s="897"/>
      <c r="I144" s="897"/>
      <c r="J144" s="905"/>
      <c r="K144" s="892"/>
      <c r="L144" s="896"/>
      <c r="M144" s="896"/>
      <c r="N144" s="896"/>
      <c r="O144" s="896"/>
      <c r="P144" s="904"/>
      <c r="Q144" s="883"/>
    </row>
    <row r="145" spans="1:17">
      <c r="A145" s="1331">
        <f t="shared" si="32"/>
        <v>141</v>
      </c>
      <c r="B145" s="893"/>
      <c r="C145" s="892"/>
      <c r="D145" s="963"/>
      <c r="E145" s="892"/>
      <c r="F145" s="898"/>
      <c r="G145" s="898"/>
      <c r="H145" s="897"/>
      <c r="I145" s="897"/>
      <c r="J145" s="905"/>
      <c r="K145" s="892"/>
      <c r="L145" s="896"/>
      <c r="M145" s="896"/>
      <c r="N145" s="896"/>
      <c r="O145" s="896"/>
      <c r="P145" s="904"/>
      <c r="Q145" s="883"/>
    </row>
    <row r="146" spans="1:17">
      <c r="A146" s="1331">
        <f t="shared" si="32"/>
        <v>142</v>
      </c>
      <c r="B146" s="893"/>
      <c r="C146" s="892"/>
      <c r="D146" s="963"/>
      <c r="E146" s="892"/>
      <c r="F146" s="898"/>
      <c r="G146" s="898"/>
      <c r="H146" s="897"/>
      <c r="I146" s="897"/>
      <c r="J146" s="892"/>
      <c r="K146" s="892"/>
      <c r="L146" s="896"/>
      <c r="M146" s="896"/>
      <c r="N146" s="896"/>
      <c r="O146" s="896"/>
      <c r="P146" s="904"/>
      <c r="Q146" s="883"/>
    </row>
    <row r="147" spans="1:17">
      <c r="A147" s="1331">
        <f t="shared" si="32"/>
        <v>143</v>
      </c>
      <c r="B147" s="893"/>
      <c r="C147" s="892"/>
      <c r="D147" s="963"/>
      <c r="E147" s="892"/>
      <c r="F147" s="898"/>
      <c r="G147" s="898"/>
      <c r="H147" s="897"/>
      <c r="I147" s="897"/>
      <c r="J147" s="892"/>
      <c r="K147" s="892"/>
      <c r="L147" s="896"/>
      <c r="M147" s="896"/>
      <c r="N147" s="896"/>
      <c r="O147" s="896"/>
      <c r="P147" s="895"/>
      <c r="Q147" s="883"/>
    </row>
    <row r="148" spans="1:17">
      <c r="A148" s="1331">
        <f t="shared" si="32"/>
        <v>144</v>
      </c>
      <c r="B148" s="903" t="s">
        <v>264</v>
      </c>
      <c r="C148" s="902"/>
      <c r="D148" s="892"/>
      <c r="E148" s="892"/>
      <c r="F148" s="896"/>
      <c r="G148" s="896"/>
      <c r="H148" s="897"/>
      <c r="I148" s="897"/>
      <c r="J148" s="892"/>
      <c r="K148" s="892"/>
      <c r="L148" s="901" t="s">
        <v>260</v>
      </c>
      <c r="M148" s="901"/>
      <c r="N148" s="896"/>
      <c r="O148" s="896"/>
      <c r="P148" s="895"/>
      <c r="Q148" s="883"/>
    </row>
    <row r="149" spans="1:17">
      <c r="A149" s="1331">
        <f t="shared" si="32"/>
        <v>145</v>
      </c>
      <c r="B149" s="893" t="s">
        <v>155</v>
      </c>
      <c r="C149" s="892"/>
      <c r="D149" s="962">
        <f>+D143+1</f>
        <v>4</v>
      </c>
      <c r="E149" s="892"/>
      <c r="F149" s="900">
        <f>+P143</f>
        <v>0</v>
      </c>
      <c r="G149" s="898"/>
      <c r="H149" s="897">
        <f>+H143</f>
        <v>0</v>
      </c>
      <c r="I149" s="897"/>
      <c r="J149" s="892"/>
      <c r="K149" s="892"/>
      <c r="L149" s="896">
        <f t="shared" ref="L149:L160" si="33" xml:space="preserve"> -H149*F149</f>
        <v>0</v>
      </c>
      <c r="M149" s="896"/>
      <c r="N149" s="896">
        <f>-PMT(H149,12,P143)</f>
        <v>0</v>
      </c>
      <c r="O149" s="896"/>
      <c r="P149" s="895">
        <f t="shared" ref="P149:P160" si="34">(+F149+F149*H149+N149)*-1</f>
        <v>0</v>
      </c>
      <c r="Q149" s="883"/>
    </row>
    <row r="150" spans="1:17">
      <c r="A150" s="1331">
        <f t="shared" si="32"/>
        <v>146</v>
      </c>
      <c r="B150" s="893" t="s">
        <v>154</v>
      </c>
      <c r="C150" s="892"/>
      <c r="D150" s="962">
        <f t="shared" ref="D150:D158" si="35">+D149</f>
        <v>4</v>
      </c>
      <c r="E150" s="892"/>
      <c r="F150" s="898">
        <f t="shared" ref="F150:F160" si="36">-P149</f>
        <v>0</v>
      </c>
      <c r="G150" s="898"/>
      <c r="H150" s="897">
        <f t="shared" ref="H150:H160" si="37">+H149</f>
        <v>0</v>
      </c>
      <c r="I150" s="897"/>
      <c r="J150" s="892"/>
      <c r="K150" s="892"/>
      <c r="L150" s="896">
        <f t="shared" si="33"/>
        <v>0</v>
      </c>
      <c r="M150" s="896"/>
      <c r="N150" s="896">
        <f t="shared" ref="N150:N160" si="38">N149</f>
        <v>0</v>
      </c>
      <c r="O150" s="896"/>
      <c r="P150" s="895">
        <f t="shared" si="34"/>
        <v>0</v>
      </c>
      <c r="Q150" s="883"/>
    </row>
    <row r="151" spans="1:17">
      <c r="A151" s="1331">
        <f t="shared" si="32"/>
        <v>147</v>
      </c>
      <c r="B151" s="893" t="s">
        <v>153</v>
      </c>
      <c r="C151" s="892"/>
      <c r="D151" s="962">
        <f t="shared" si="35"/>
        <v>4</v>
      </c>
      <c r="E151" s="892"/>
      <c r="F151" s="898">
        <f t="shared" si="36"/>
        <v>0</v>
      </c>
      <c r="G151" s="898"/>
      <c r="H151" s="897">
        <f t="shared" si="37"/>
        <v>0</v>
      </c>
      <c r="I151" s="897"/>
      <c r="J151" s="892"/>
      <c r="K151" s="892"/>
      <c r="L151" s="896">
        <f t="shared" si="33"/>
        <v>0</v>
      </c>
      <c r="M151" s="896"/>
      <c r="N151" s="896">
        <f t="shared" si="38"/>
        <v>0</v>
      </c>
      <c r="O151" s="896"/>
      <c r="P151" s="895">
        <f t="shared" si="34"/>
        <v>0</v>
      </c>
      <c r="Q151" s="883"/>
    </row>
    <row r="152" spans="1:17">
      <c r="A152" s="1331">
        <f t="shared" si="32"/>
        <v>148</v>
      </c>
      <c r="B152" s="893" t="s">
        <v>133</v>
      </c>
      <c r="C152" s="892"/>
      <c r="D152" s="962">
        <f t="shared" si="35"/>
        <v>4</v>
      </c>
      <c r="E152" s="892"/>
      <c r="F152" s="898">
        <f t="shared" si="36"/>
        <v>0</v>
      </c>
      <c r="G152" s="898"/>
      <c r="H152" s="897">
        <f t="shared" si="37"/>
        <v>0</v>
      </c>
      <c r="I152" s="897"/>
      <c r="J152" s="892"/>
      <c r="K152" s="892"/>
      <c r="L152" s="896">
        <f t="shared" si="33"/>
        <v>0</v>
      </c>
      <c r="M152" s="896"/>
      <c r="N152" s="896">
        <f t="shared" si="38"/>
        <v>0</v>
      </c>
      <c r="O152" s="896"/>
      <c r="P152" s="895">
        <f t="shared" si="34"/>
        <v>0</v>
      </c>
      <c r="Q152" s="883"/>
    </row>
    <row r="153" spans="1:17">
      <c r="A153" s="1331">
        <f t="shared" si="32"/>
        <v>149</v>
      </c>
      <c r="B153" s="893" t="s">
        <v>130</v>
      </c>
      <c r="C153" s="892"/>
      <c r="D153" s="962">
        <f t="shared" si="35"/>
        <v>4</v>
      </c>
      <c r="E153" s="892"/>
      <c r="F153" s="898">
        <f t="shared" si="36"/>
        <v>0</v>
      </c>
      <c r="G153" s="898"/>
      <c r="H153" s="897">
        <f t="shared" si="37"/>
        <v>0</v>
      </c>
      <c r="I153" s="897"/>
      <c r="J153" s="892"/>
      <c r="K153" s="892"/>
      <c r="L153" s="896">
        <f t="shared" si="33"/>
        <v>0</v>
      </c>
      <c r="M153" s="896"/>
      <c r="N153" s="896">
        <f t="shared" si="38"/>
        <v>0</v>
      </c>
      <c r="O153" s="896"/>
      <c r="P153" s="895">
        <f t="shared" si="34"/>
        <v>0</v>
      </c>
      <c r="Q153" s="883"/>
    </row>
    <row r="154" spans="1:17">
      <c r="A154" s="1331">
        <f t="shared" si="32"/>
        <v>150</v>
      </c>
      <c r="B154" s="893" t="s">
        <v>261</v>
      </c>
      <c r="C154" s="892"/>
      <c r="D154" s="962">
        <f t="shared" si="35"/>
        <v>4</v>
      </c>
      <c r="E154" s="892"/>
      <c r="F154" s="898">
        <f t="shared" si="36"/>
        <v>0</v>
      </c>
      <c r="G154" s="898"/>
      <c r="H154" s="897">
        <f t="shared" si="37"/>
        <v>0</v>
      </c>
      <c r="I154" s="897"/>
      <c r="J154" s="892"/>
      <c r="K154" s="892"/>
      <c r="L154" s="896">
        <f t="shared" si="33"/>
        <v>0</v>
      </c>
      <c r="M154" s="896"/>
      <c r="N154" s="896">
        <f t="shared" si="38"/>
        <v>0</v>
      </c>
      <c r="O154" s="896"/>
      <c r="P154" s="895">
        <f t="shared" si="34"/>
        <v>0</v>
      </c>
      <c r="Q154" s="883"/>
    </row>
    <row r="155" spans="1:17">
      <c r="A155" s="1331">
        <f t="shared" si="32"/>
        <v>151</v>
      </c>
      <c r="B155" s="893" t="s">
        <v>151</v>
      </c>
      <c r="C155" s="892"/>
      <c r="D155" s="962">
        <f t="shared" si="35"/>
        <v>4</v>
      </c>
      <c r="E155" s="892"/>
      <c r="F155" s="898">
        <f t="shared" si="36"/>
        <v>0</v>
      </c>
      <c r="G155" s="898"/>
      <c r="H155" s="897">
        <f t="shared" si="37"/>
        <v>0</v>
      </c>
      <c r="I155" s="897"/>
      <c r="J155" s="892"/>
      <c r="K155" s="892"/>
      <c r="L155" s="896">
        <f t="shared" si="33"/>
        <v>0</v>
      </c>
      <c r="M155" s="896"/>
      <c r="N155" s="896">
        <f t="shared" si="38"/>
        <v>0</v>
      </c>
      <c r="O155" s="896"/>
      <c r="P155" s="895">
        <f t="shared" si="34"/>
        <v>0</v>
      </c>
      <c r="Q155" s="883"/>
    </row>
    <row r="156" spans="1:17">
      <c r="A156" s="1331">
        <f t="shared" si="32"/>
        <v>152</v>
      </c>
      <c r="B156" s="893" t="s">
        <v>150</v>
      </c>
      <c r="C156" s="892"/>
      <c r="D156" s="962">
        <f t="shared" si="35"/>
        <v>4</v>
      </c>
      <c r="E156" s="892"/>
      <c r="F156" s="898">
        <f t="shared" si="36"/>
        <v>0</v>
      </c>
      <c r="G156" s="898"/>
      <c r="H156" s="897">
        <f t="shared" si="37"/>
        <v>0</v>
      </c>
      <c r="I156" s="897"/>
      <c r="J156" s="892"/>
      <c r="K156" s="892"/>
      <c r="L156" s="896">
        <f t="shared" si="33"/>
        <v>0</v>
      </c>
      <c r="M156" s="896"/>
      <c r="N156" s="896">
        <f t="shared" si="38"/>
        <v>0</v>
      </c>
      <c r="O156" s="896"/>
      <c r="P156" s="895">
        <f t="shared" si="34"/>
        <v>0</v>
      </c>
      <c r="Q156" s="883"/>
    </row>
    <row r="157" spans="1:17">
      <c r="A157" s="1331">
        <f t="shared" si="32"/>
        <v>153</v>
      </c>
      <c r="B157" s="893" t="s">
        <v>149</v>
      </c>
      <c r="C157" s="892"/>
      <c r="D157" s="962">
        <f t="shared" si="35"/>
        <v>4</v>
      </c>
      <c r="E157" s="892"/>
      <c r="F157" s="898">
        <f t="shared" si="36"/>
        <v>0</v>
      </c>
      <c r="G157" s="898"/>
      <c r="H157" s="897">
        <f t="shared" si="37"/>
        <v>0</v>
      </c>
      <c r="I157" s="897"/>
      <c r="J157" s="892"/>
      <c r="K157" s="892"/>
      <c r="L157" s="896">
        <f t="shared" si="33"/>
        <v>0</v>
      </c>
      <c r="M157" s="896"/>
      <c r="N157" s="896">
        <f t="shared" si="38"/>
        <v>0</v>
      </c>
      <c r="O157" s="896"/>
      <c r="P157" s="895">
        <f t="shared" si="34"/>
        <v>0</v>
      </c>
      <c r="Q157" s="883"/>
    </row>
    <row r="158" spans="1:17">
      <c r="A158" s="1331">
        <f t="shared" si="32"/>
        <v>154</v>
      </c>
      <c r="B158" s="893" t="s">
        <v>160</v>
      </c>
      <c r="C158" s="892"/>
      <c r="D158" s="962">
        <f t="shared" si="35"/>
        <v>4</v>
      </c>
      <c r="E158" s="892"/>
      <c r="F158" s="898">
        <f t="shared" si="36"/>
        <v>0</v>
      </c>
      <c r="G158" s="898"/>
      <c r="H158" s="897">
        <f t="shared" si="37"/>
        <v>0</v>
      </c>
      <c r="I158" s="897"/>
      <c r="J158" s="892"/>
      <c r="K158" s="892"/>
      <c r="L158" s="896">
        <f t="shared" si="33"/>
        <v>0</v>
      </c>
      <c r="M158" s="896"/>
      <c r="N158" s="896">
        <f t="shared" si="38"/>
        <v>0</v>
      </c>
      <c r="O158" s="896"/>
      <c r="P158" s="895">
        <f t="shared" si="34"/>
        <v>0</v>
      </c>
      <c r="Q158" s="883"/>
    </row>
    <row r="159" spans="1:17">
      <c r="A159" s="1331">
        <f t="shared" si="32"/>
        <v>155</v>
      </c>
      <c r="B159" s="893" t="s">
        <v>147</v>
      </c>
      <c r="C159" s="892"/>
      <c r="D159" s="962">
        <f>+D158</f>
        <v>4</v>
      </c>
      <c r="E159" s="892"/>
      <c r="F159" s="898">
        <f t="shared" si="36"/>
        <v>0</v>
      </c>
      <c r="G159" s="898"/>
      <c r="H159" s="897">
        <f t="shared" si="37"/>
        <v>0</v>
      </c>
      <c r="I159" s="897"/>
      <c r="J159" s="892"/>
      <c r="K159" s="892"/>
      <c r="L159" s="896">
        <f t="shared" si="33"/>
        <v>0</v>
      </c>
      <c r="M159" s="896"/>
      <c r="N159" s="896">
        <f t="shared" si="38"/>
        <v>0</v>
      </c>
      <c r="O159" s="896"/>
      <c r="P159" s="895">
        <f t="shared" si="34"/>
        <v>0</v>
      </c>
      <c r="Q159" s="883"/>
    </row>
    <row r="160" spans="1:17">
      <c r="A160" s="1331">
        <f t="shared" si="32"/>
        <v>156</v>
      </c>
      <c r="B160" s="893" t="s">
        <v>145</v>
      </c>
      <c r="C160" s="892"/>
      <c r="D160" s="962">
        <f>+D159</f>
        <v>4</v>
      </c>
      <c r="E160" s="892"/>
      <c r="F160" s="898">
        <f t="shared" si="36"/>
        <v>0</v>
      </c>
      <c r="G160" s="898"/>
      <c r="H160" s="897">
        <f t="shared" si="37"/>
        <v>0</v>
      </c>
      <c r="I160" s="897"/>
      <c r="J160" s="892"/>
      <c r="K160" s="892"/>
      <c r="L160" s="899">
        <f t="shared" si="33"/>
        <v>0</v>
      </c>
      <c r="M160" s="896"/>
      <c r="N160" s="896">
        <f t="shared" si="38"/>
        <v>0</v>
      </c>
      <c r="O160" s="896"/>
      <c r="P160" s="895">
        <f t="shared" si="34"/>
        <v>0</v>
      </c>
      <c r="Q160" s="883"/>
    </row>
    <row r="161" spans="1:17">
      <c r="A161" s="1331">
        <f t="shared" si="32"/>
        <v>157</v>
      </c>
      <c r="B161" s="893"/>
      <c r="C161" s="892"/>
      <c r="D161" s="962"/>
      <c r="E161" s="892"/>
      <c r="F161" s="898"/>
      <c r="G161" s="898"/>
      <c r="H161" s="897"/>
      <c r="I161" s="897"/>
      <c r="J161" s="892"/>
      <c r="K161" s="892"/>
      <c r="L161" s="896">
        <f>SUM(L149:L160)</f>
        <v>0</v>
      </c>
      <c r="M161" s="896"/>
      <c r="N161" s="896"/>
      <c r="O161" s="896"/>
      <c r="P161" s="895"/>
      <c r="Q161" s="883"/>
    </row>
    <row r="162" spans="1:17">
      <c r="A162" s="1331">
        <f t="shared" si="32"/>
        <v>158</v>
      </c>
      <c r="B162" s="894"/>
      <c r="C162" s="890"/>
      <c r="D162" s="890"/>
      <c r="E162" s="890"/>
      <c r="F162" s="890"/>
      <c r="G162" s="890"/>
      <c r="H162" s="890"/>
      <c r="I162" s="890"/>
      <c r="J162" s="890"/>
      <c r="K162" s="890"/>
      <c r="L162" s="890"/>
      <c r="M162" s="890"/>
      <c r="N162" s="890"/>
      <c r="O162" s="890"/>
      <c r="P162" s="889"/>
      <c r="Q162" s="883"/>
    </row>
    <row r="163" spans="1:17">
      <c r="A163" s="1331">
        <f t="shared" si="32"/>
        <v>159</v>
      </c>
      <c r="B163" s="893" t="s">
        <v>582</v>
      </c>
      <c r="C163" s="892"/>
      <c r="D163" s="890"/>
      <c r="E163" s="890"/>
      <c r="F163" s="890"/>
      <c r="G163" s="890"/>
      <c r="H163" s="890"/>
      <c r="I163" s="890"/>
      <c r="J163" s="890"/>
      <c r="K163" s="890"/>
      <c r="L163" s="890"/>
      <c r="M163" s="890"/>
      <c r="N163" s="891">
        <f>SUM(N149:N160)</f>
        <v>0</v>
      </c>
      <c r="O163" s="890"/>
      <c r="P163" s="889"/>
      <c r="Q163" s="883"/>
    </row>
    <row r="164" spans="1:17">
      <c r="A164" s="1331">
        <f t="shared" si="32"/>
        <v>160</v>
      </c>
      <c r="B164" s="893" t="s">
        <v>265</v>
      </c>
      <c r="C164" s="892"/>
      <c r="D164" s="890"/>
      <c r="E164" s="890"/>
      <c r="F164" s="890"/>
      <c r="G164" s="890"/>
      <c r="H164" s="890"/>
      <c r="I164" s="890"/>
      <c r="J164" s="890"/>
      <c r="K164" s="890"/>
      <c r="L164" s="890"/>
      <c r="M164" s="890"/>
      <c r="N164" s="891">
        <f>L12</f>
        <v>0</v>
      </c>
      <c r="O164" s="890"/>
      <c r="P164" s="889"/>
      <c r="Q164" s="883"/>
    </row>
    <row r="165" spans="1:17">
      <c r="A165" s="1331">
        <f t="shared" si="32"/>
        <v>161</v>
      </c>
      <c r="B165" s="893" t="s">
        <v>266</v>
      </c>
      <c r="C165" s="892"/>
      <c r="D165" s="890"/>
      <c r="E165" s="890"/>
      <c r="F165" s="890"/>
      <c r="G165" s="890"/>
      <c r="H165" s="890"/>
      <c r="I165" s="890"/>
      <c r="J165" s="890"/>
      <c r="K165" s="890"/>
      <c r="L165" s="890"/>
      <c r="M165" s="890"/>
      <c r="N165" s="891">
        <f>(N163+N164)</f>
        <v>0</v>
      </c>
      <c r="O165" s="890"/>
      <c r="P165" s="889"/>
      <c r="Q165" s="883"/>
    </row>
    <row r="166" spans="1:17">
      <c r="B166" s="919"/>
      <c r="C166" s="919"/>
      <c r="D166" s="919"/>
      <c r="E166" s="919"/>
      <c r="F166" s="919"/>
      <c r="G166" s="919"/>
      <c r="H166" s="919"/>
      <c r="I166" s="919"/>
      <c r="J166" s="919"/>
      <c r="K166" s="919"/>
      <c r="L166" s="919"/>
      <c r="M166" s="919"/>
      <c r="N166" s="919"/>
      <c r="O166" s="919"/>
      <c r="P166" s="919"/>
      <c r="Q166" s="890"/>
    </row>
    <row r="167" spans="1:17">
      <c r="B167" s="919"/>
      <c r="C167" s="919"/>
      <c r="D167" s="919"/>
      <c r="E167" s="919"/>
      <c r="F167" s="919"/>
      <c r="G167" s="919"/>
      <c r="H167" s="919"/>
      <c r="I167" s="919"/>
      <c r="J167" s="919"/>
      <c r="K167" s="919"/>
      <c r="L167" s="919"/>
      <c r="M167" s="919"/>
      <c r="N167" s="919"/>
      <c r="O167" s="919"/>
      <c r="P167" s="919"/>
      <c r="Q167" s="890"/>
    </row>
    <row r="168" spans="1:17">
      <c r="B168" s="1747"/>
      <c r="C168" s="1747"/>
      <c r="D168" s="1747"/>
      <c r="E168" s="1747"/>
      <c r="F168" s="1747"/>
      <c r="G168" s="1747"/>
      <c r="H168" s="1747"/>
      <c r="I168" s="1747"/>
      <c r="J168" s="1747"/>
      <c r="K168" s="1747"/>
      <c r="L168" s="1747"/>
      <c r="M168" s="1747"/>
      <c r="N168" s="1747"/>
      <c r="O168" s="919"/>
      <c r="P168" s="919"/>
      <c r="Q168" s="890"/>
    </row>
    <row r="169" spans="1:17">
      <c r="B169" s="1748"/>
      <c r="C169" s="1748"/>
      <c r="D169" s="1748"/>
      <c r="E169" s="1748"/>
      <c r="F169" s="1748"/>
      <c r="G169" s="1748"/>
      <c r="H169" s="1748"/>
      <c r="I169" s="1748"/>
      <c r="J169" s="1748"/>
      <c r="K169" s="1748"/>
      <c r="L169" s="1748"/>
      <c r="M169" s="1748"/>
      <c r="N169" s="1748"/>
      <c r="O169" s="919"/>
      <c r="P169" s="919"/>
      <c r="Q169" s="890"/>
    </row>
    <row r="170" spans="1:17">
      <c r="B170" s="1747"/>
      <c r="C170" s="1747"/>
      <c r="D170" s="1747"/>
      <c r="E170" s="1747"/>
      <c r="F170" s="1747"/>
      <c r="G170" s="1747"/>
      <c r="H170" s="1747"/>
      <c r="I170" s="1747"/>
      <c r="J170" s="1747"/>
      <c r="K170" s="1747"/>
      <c r="L170" s="1747"/>
      <c r="M170" s="1747"/>
      <c r="N170" s="1747"/>
      <c r="O170" s="919"/>
      <c r="P170" s="919"/>
      <c r="Q170" s="890"/>
    </row>
    <row r="171" spans="1:17">
      <c r="B171" s="919"/>
      <c r="C171" s="919"/>
      <c r="D171" s="919"/>
      <c r="E171" s="919"/>
      <c r="F171" s="919"/>
      <c r="G171" s="919"/>
      <c r="H171" s="919"/>
      <c r="I171" s="919"/>
      <c r="J171" s="919"/>
      <c r="K171" s="919"/>
      <c r="L171" s="919"/>
      <c r="M171" s="919"/>
      <c r="N171" s="919"/>
      <c r="O171" s="919"/>
      <c r="P171" s="919"/>
      <c r="Q171" s="890"/>
    </row>
    <row r="172" spans="1:17">
      <c r="B172" s="964"/>
      <c r="C172" s="910"/>
      <c r="D172" s="908"/>
      <c r="E172" s="908"/>
      <c r="F172" s="908"/>
      <c r="G172" s="908"/>
      <c r="H172" s="892"/>
      <c r="I172" s="892"/>
      <c r="J172" s="892"/>
      <c r="K172" s="892"/>
      <c r="L172" s="909"/>
      <c r="M172" s="909"/>
      <c r="N172" s="908"/>
      <c r="O172" s="908"/>
      <c r="P172" s="908"/>
      <c r="Q172" s="890"/>
    </row>
    <row r="173" spans="1:17">
      <c r="B173" s="965"/>
      <c r="C173" s="910"/>
      <c r="D173" s="908"/>
      <c r="E173" s="908"/>
      <c r="F173" s="908"/>
      <c r="G173" s="908"/>
      <c r="H173" s="892"/>
      <c r="I173" s="892"/>
      <c r="J173" s="892"/>
      <c r="K173" s="892"/>
      <c r="L173" s="909"/>
      <c r="M173" s="909"/>
      <c r="N173" s="908"/>
      <c r="O173" s="908"/>
      <c r="P173" s="908"/>
      <c r="Q173" s="890"/>
    </row>
    <row r="174" spans="1:17">
      <c r="B174" s="964"/>
      <c r="C174" s="910"/>
      <c r="D174" s="908"/>
      <c r="E174" s="908"/>
      <c r="F174" s="908"/>
      <c r="G174" s="908"/>
      <c r="H174" s="892"/>
      <c r="I174" s="892"/>
      <c r="J174" s="892"/>
      <c r="K174" s="892"/>
      <c r="L174" s="909"/>
      <c r="M174" s="909"/>
      <c r="N174" s="908"/>
      <c r="O174" s="908"/>
      <c r="P174" s="908"/>
      <c r="Q174" s="890"/>
    </row>
    <row r="175" spans="1:17">
      <c r="B175" s="892"/>
      <c r="C175" s="892"/>
      <c r="D175" s="962"/>
      <c r="E175" s="892"/>
      <c r="F175" s="896"/>
      <c r="G175" s="896"/>
      <c r="H175" s="897"/>
      <c r="I175" s="897"/>
      <c r="J175" s="905"/>
      <c r="K175" s="892"/>
      <c r="L175" s="896"/>
      <c r="M175" s="896"/>
      <c r="N175" s="896"/>
      <c r="O175" s="896"/>
      <c r="P175" s="896"/>
      <c r="Q175" s="890"/>
    </row>
    <row r="176" spans="1:17">
      <c r="B176" s="892"/>
      <c r="C176" s="892"/>
      <c r="D176" s="962"/>
      <c r="E176" s="892"/>
      <c r="F176" s="896"/>
      <c r="G176" s="896"/>
      <c r="H176" s="897"/>
      <c r="I176" s="897"/>
      <c r="J176" s="906"/>
      <c r="K176" s="890"/>
      <c r="L176" s="896"/>
      <c r="M176" s="896"/>
      <c r="N176" s="896"/>
      <c r="O176" s="896"/>
      <c r="P176" s="896"/>
      <c r="Q176" s="890"/>
    </row>
    <row r="177" spans="2:17">
      <c r="B177" s="892"/>
      <c r="C177" s="892"/>
      <c r="D177" s="962"/>
      <c r="E177" s="892"/>
      <c r="F177" s="896"/>
      <c r="G177" s="896"/>
      <c r="H177" s="897"/>
      <c r="I177" s="897"/>
      <c r="J177" s="906"/>
      <c r="K177" s="890"/>
      <c r="L177" s="896"/>
      <c r="M177" s="896"/>
      <c r="N177" s="896"/>
      <c r="O177" s="896"/>
      <c r="P177" s="896"/>
      <c r="Q177" s="890"/>
    </row>
    <row r="178" spans="2:17">
      <c r="B178" s="892"/>
      <c r="C178" s="892"/>
      <c r="D178" s="962"/>
      <c r="E178" s="892"/>
      <c r="F178" s="896"/>
      <c r="G178" s="896"/>
      <c r="H178" s="897"/>
      <c r="I178" s="897"/>
      <c r="J178" s="906"/>
      <c r="K178" s="890"/>
      <c r="L178" s="896"/>
      <c r="M178" s="896"/>
      <c r="N178" s="896"/>
      <c r="O178" s="896"/>
      <c r="P178" s="896"/>
      <c r="Q178" s="890"/>
    </row>
    <row r="179" spans="2:17">
      <c r="B179" s="892"/>
      <c r="C179" s="892"/>
      <c r="D179" s="962"/>
      <c r="E179" s="892"/>
      <c r="F179" s="896"/>
      <c r="G179" s="896"/>
      <c r="H179" s="897"/>
      <c r="I179" s="897"/>
      <c r="J179" s="906"/>
      <c r="K179" s="890"/>
      <c r="L179" s="896"/>
      <c r="M179" s="896"/>
      <c r="N179" s="896"/>
      <c r="O179" s="896"/>
      <c r="P179" s="896"/>
      <c r="Q179" s="890"/>
    </row>
    <row r="180" spans="2:17">
      <c r="B180" s="892"/>
      <c r="C180" s="892"/>
      <c r="D180" s="962"/>
      <c r="E180" s="892"/>
      <c r="F180" s="896"/>
      <c r="G180" s="896"/>
      <c r="H180" s="897"/>
      <c r="I180" s="897"/>
      <c r="J180" s="906"/>
      <c r="K180" s="890"/>
      <c r="L180" s="896"/>
      <c r="M180" s="896"/>
      <c r="N180" s="896"/>
      <c r="O180" s="896"/>
      <c r="P180" s="896"/>
      <c r="Q180" s="890"/>
    </row>
    <row r="181" spans="2:17">
      <c r="B181" s="892"/>
      <c r="C181" s="892"/>
      <c r="D181" s="962"/>
      <c r="E181" s="892"/>
      <c r="F181" s="896"/>
      <c r="G181" s="896"/>
      <c r="H181" s="897"/>
      <c r="I181" s="897"/>
      <c r="J181" s="906"/>
      <c r="K181" s="890"/>
      <c r="L181" s="896"/>
      <c r="M181" s="896"/>
      <c r="N181" s="896"/>
      <c r="O181" s="896"/>
      <c r="P181" s="896"/>
      <c r="Q181" s="890"/>
    </row>
    <row r="182" spans="2:17">
      <c r="B182" s="892"/>
      <c r="C182" s="892"/>
      <c r="D182" s="962"/>
      <c r="E182" s="892"/>
      <c r="F182" s="896"/>
      <c r="G182" s="896"/>
      <c r="H182" s="897"/>
      <c r="I182" s="897"/>
      <c r="J182" s="906"/>
      <c r="K182" s="890"/>
      <c r="L182" s="896"/>
      <c r="M182" s="896"/>
      <c r="N182" s="896"/>
      <c r="O182" s="896"/>
      <c r="P182" s="896"/>
      <c r="Q182" s="890"/>
    </row>
    <row r="183" spans="2:17">
      <c r="B183" s="892"/>
      <c r="C183" s="892"/>
      <c r="D183" s="962"/>
      <c r="E183" s="892"/>
      <c r="F183" s="896"/>
      <c r="G183" s="896"/>
      <c r="H183" s="897"/>
      <c r="I183" s="897"/>
      <c r="J183" s="906"/>
      <c r="K183" s="890"/>
      <c r="L183" s="896"/>
      <c r="M183" s="896"/>
      <c r="N183" s="896"/>
      <c r="O183" s="896"/>
      <c r="P183" s="896"/>
      <c r="Q183" s="890"/>
    </row>
    <row r="184" spans="2:17">
      <c r="B184" s="892"/>
      <c r="C184" s="892"/>
      <c r="D184" s="962"/>
      <c r="E184" s="892"/>
      <c r="F184" s="896"/>
      <c r="G184" s="896"/>
      <c r="H184" s="897"/>
      <c r="I184" s="897"/>
      <c r="J184" s="906"/>
      <c r="K184" s="890"/>
      <c r="L184" s="896"/>
      <c r="M184" s="896"/>
      <c r="N184" s="896"/>
      <c r="O184" s="896"/>
      <c r="P184" s="896"/>
      <c r="Q184" s="890"/>
    </row>
    <row r="185" spans="2:17">
      <c r="B185" s="892"/>
      <c r="C185" s="892"/>
      <c r="D185" s="962"/>
      <c r="E185" s="892"/>
      <c r="F185" s="896"/>
      <c r="G185" s="896"/>
      <c r="H185" s="897"/>
      <c r="I185" s="897"/>
      <c r="J185" s="906"/>
      <c r="K185" s="890"/>
      <c r="L185" s="896"/>
      <c r="M185" s="896"/>
      <c r="N185" s="896"/>
      <c r="O185" s="896"/>
      <c r="P185" s="896"/>
      <c r="Q185" s="890"/>
    </row>
    <row r="186" spans="2:17">
      <c r="B186" s="892"/>
      <c r="C186" s="892"/>
      <c r="D186" s="962"/>
      <c r="E186" s="892"/>
      <c r="F186" s="896"/>
      <c r="G186" s="896"/>
      <c r="H186" s="897"/>
      <c r="I186" s="897"/>
      <c r="J186" s="906"/>
      <c r="K186" s="890"/>
      <c r="L186" s="896"/>
      <c r="M186" s="896"/>
      <c r="N186" s="896"/>
      <c r="O186" s="896"/>
      <c r="P186" s="896"/>
      <c r="Q186" s="890"/>
    </row>
    <row r="187" spans="2:17">
      <c r="B187" s="892"/>
      <c r="C187" s="892"/>
      <c r="D187" s="892"/>
      <c r="E187" s="892"/>
      <c r="F187" s="896"/>
      <c r="G187" s="896"/>
      <c r="H187" s="897"/>
      <c r="I187" s="897"/>
      <c r="J187" s="890"/>
      <c r="K187" s="890"/>
      <c r="L187" s="896"/>
      <c r="M187" s="896"/>
      <c r="N187" s="896"/>
      <c r="O187" s="896"/>
      <c r="P187" s="966"/>
      <c r="Q187" s="890"/>
    </row>
    <row r="188" spans="2:17">
      <c r="B188" s="892"/>
      <c r="C188" s="892"/>
      <c r="D188" s="892"/>
      <c r="E188" s="892"/>
      <c r="F188" s="896"/>
      <c r="G188" s="896"/>
      <c r="H188" s="897"/>
      <c r="I188" s="897"/>
      <c r="J188" s="890"/>
      <c r="K188" s="890"/>
      <c r="L188" s="896"/>
      <c r="M188" s="896"/>
      <c r="N188" s="896"/>
      <c r="O188" s="896"/>
      <c r="P188" s="966"/>
      <c r="Q188" s="890"/>
    </row>
    <row r="189" spans="2:17">
      <c r="B189" s="892"/>
      <c r="C189" s="892"/>
      <c r="D189" s="892"/>
      <c r="E189" s="892"/>
      <c r="F189" s="896"/>
      <c r="G189" s="896"/>
      <c r="H189" s="897"/>
      <c r="I189" s="897"/>
      <c r="J189" s="890"/>
      <c r="K189" s="890"/>
      <c r="L189" s="901"/>
      <c r="M189" s="896"/>
      <c r="N189" s="896"/>
      <c r="O189" s="896"/>
      <c r="P189" s="966"/>
      <c r="Q189" s="890"/>
    </row>
    <row r="190" spans="2:17">
      <c r="B190" s="892"/>
      <c r="C190" s="892"/>
      <c r="D190" s="892"/>
      <c r="E190" s="892"/>
      <c r="F190" s="896"/>
      <c r="G190" s="896"/>
      <c r="H190" s="897"/>
      <c r="I190" s="897"/>
      <c r="J190" s="890"/>
      <c r="K190" s="890"/>
      <c r="L190" s="901"/>
      <c r="M190" s="896"/>
      <c r="N190" s="896"/>
      <c r="O190" s="896"/>
      <c r="P190" s="966"/>
      <c r="Q190" s="890"/>
    </row>
    <row r="191" spans="2:17">
      <c r="B191" s="892"/>
      <c r="C191" s="892"/>
      <c r="D191" s="963"/>
      <c r="E191" s="892"/>
      <c r="F191" s="898"/>
      <c r="G191" s="898"/>
      <c r="H191" s="897"/>
      <c r="I191" s="897"/>
      <c r="J191" s="905"/>
      <c r="K191" s="892"/>
      <c r="L191" s="896"/>
      <c r="M191" s="896"/>
      <c r="N191" s="896"/>
      <c r="O191" s="896"/>
      <c r="P191" s="966"/>
      <c r="Q191" s="890"/>
    </row>
    <row r="192" spans="2:17">
      <c r="B192" s="892"/>
      <c r="C192" s="892"/>
      <c r="D192" s="963"/>
      <c r="E192" s="892"/>
      <c r="F192" s="898"/>
      <c r="G192" s="898"/>
      <c r="H192" s="897"/>
      <c r="I192" s="897"/>
      <c r="J192" s="905"/>
      <c r="K192" s="892"/>
      <c r="L192" s="896"/>
      <c r="M192" s="896"/>
      <c r="N192" s="896"/>
      <c r="O192" s="896"/>
      <c r="P192" s="966"/>
      <c r="Q192" s="890"/>
    </row>
    <row r="193" spans="2:17">
      <c r="B193" s="892"/>
      <c r="C193" s="892"/>
      <c r="D193" s="963"/>
      <c r="E193" s="892"/>
      <c r="F193" s="898"/>
      <c r="G193" s="898"/>
      <c r="H193" s="897"/>
      <c r="I193" s="897"/>
      <c r="J193" s="892"/>
      <c r="K193" s="892"/>
      <c r="L193" s="896"/>
      <c r="M193" s="896"/>
      <c r="N193" s="896"/>
      <c r="O193" s="896"/>
      <c r="P193" s="966"/>
      <c r="Q193" s="890"/>
    </row>
    <row r="194" spans="2:17">
      <c r="B194" s="892"/>
      <c r="C194" s="892"/>
      <c r="D194" s="963"/>
      <c r="E194" s="892"/>
      <c r="F194" s="898"/>
      <c r="G194" s="898"/>
      <c r="H194" s="897"/>
      <c r="I194" s="897"/>
      <c r="J194" s="892"/>
      <c r="K194" s="892"/>
      <c r="L194" s="896"/>
      <c r="M194" s="896"/>
      <c r="N194" s="896"/>
      <c r="O194" s="896"/>
      <c r="P194" s="896"/>
      <c r="Q194" s="890"/>
    </row>
    <row r="195" spans="2:17">
      <c r="B195" s="902"/>
      <c r="C195" s="902"/>
      <c r="D195" s="963"/>
      <c r="E195" s="892"/>
      <c r="F195" s="896"/>
      <c r="G195" s="896"/>
      <c r="H195" s="897"/>
      <c r="I195" s="897"/>
      <c r="J195" s="892"/>
      <c r="K195" s="892"/>
      <c r="L195" s="901"/>
      <c r="M195" s="901"/>
      <c r="N195" s="896"/>
      <c r="O195" s="896"/>
      <c r="P195" s="896"/>
      <c r="Q195" s="890"/>
    </row>
    <row r="196" spans="2:17">
      <c r="B196" s="892"/>
      <c r="C196" s="892"/>
      <c r="D196" s="892"/>
      <c r="E196" s="892"/>
      <c r="F196" s="900"/>
      <c r="G196" s="898"/>
      <c r="H196" s="897"/>
      <c r="I196" s="897"/>
      <c r="J196" s="892"/>
      <c r="K196" s="892"/>
      <c r="L196" s="896"/>
      <c r="M196" s="896"/>
      <c r="N196" s="896"/>
      <c r="O196" s="896"/>
      <c r="P196" s="896"/>
      <c r="Q196" s="890"/>
    </row>
    <row r="197" spans="2:17">
      <c r="B197" s="892"/>
      <c r="C197" s="892"/>
      <c r="D197" s="892"/>
      <c r="E197" s="892"/>
      <c r="F197" s="898"/>
      <c r="G197" s="898"/>
      <c r="H197" s="897"/>
      <c r="I197" s="897"/>
      <c r="J197" s="892"/>
      <c r="K197" s="892"/>
      <c r="L197" s="896"/>
      <c r="M197" s="896"/>
      <c r="N197" s="896"/>
      <c r="O197" s="896"/>
      <c r="P197" s="896"/>
      <c r="Q197" s="890"/>
    </row>
    <row r="198" spans="2:17">
      <c r="B198" s="892"/>
      <c r="C198" s="892"/>
      <c r="D198" s="892"/>
      <c r="E198" s="892"/>
      <c r="F198" s="898"/>
      <c r="G198" s="898"/>
      <c r="H198" s="897"/>
      <c r="I198" s="897"/>
      <c r="J198" s="892"/>
      <c r="K198" s="892"/>
      <c r="L198" s="896"/>
      <c r="M198" s="896"/>
      <c r="N198" s="896"/>
      <c r="O198" s="896"/>
      <c r="P198" s="896"/>
      <c r="Q198" s="890"/>
    </row>
    <row r="199" spans="2:17">
      <c r="B199" s="892"/>
      <c r="C199" s="892"/>
      <c r="D199" s="962"/>
      <c r="E199" s="892"/>
      <c r="F199" s="898"/>
      <c r="G199" s="898"/>
      <c r="H199" s="897"/>
      <c r="I199" s="897"/>
      <c r="J199" s="892"/>
      <c r="K199" s="892"/>
      <c r="L199" s="896"/>
      <c r="M199" s="896"/>
      <c r="N199" s="896"/>
      <c r="O199" s="896"/>
      <c r="P199" s="896"/>
      <c r="Q199" s="890"/>
    </row>
    <row r="200" spans="2:17">
      <c r="B200" s="892"/>
      <c r="C200" s="892"/>
      <c r="D200" s="962"/>
      <c r="E200" s="892"/>
      <c r="F200" s="898"/>
      <c r="G200" s="898"/>
      <c r="H200" s="897"/>
      <c r="I200" s="897"/>
      <c r="J200" s="892"/>
      <c r="K200" s="892"/>
      <c r="L200" s="896"/>
      <c r="M200" s="896"/>
      <c r="N200" s="896"/>
      <c r="O200" s="896"/>
      <c r="P200" s="896"/>
      <c r="Q200" s="890"/>
    </row>
    <row r="201" spans="2:17">
      <c r="B201" s="892"/>
      <c r="C201" s="892"/>
      <c r="D201" s="962"/>
      <c r="E201" s="892"/>
      <c r="F201" s="898"/>
      <c r="G201" s="898"/>
      <c r="H201" s="897"/>
      <c r="I201" s="897"/>
      <c r="J201" s="892"/>
      <c r="K201" s="892"/>
      <c r="L201" s="896"/>
      <c r="M201" s="896"/>
      <c r="N201" s="896"/>
      <c r="O201" s="896"/>
      <c r="P201" s="896"/>
      <c r="Q201" s="890"/>
    </row>
    <row r="202" spans="2:17">
      <c r="B202" s="892"/>
      <c r="C202" s="892"/>
      <c r="D202" s="962"/>
      <c r="E202" s="892"/>
      <c r="F202" s="898"/>
      <c r="G202" s="898"/>
      <c r="H202" s="897"/>
      <c r="I202" s="897"/>
      <c r="J202" s="892"/>
      <c r="K202" s="892"/>
      <c r="L202" s="896"/>
      <c r="M202" s="896"/>
      <c r="N202" s="896"/>
      <c r="O202" s="896"/>
      <c r="P202" s="896"/>
      <c r="Q202" s="890"/>
    </row>
    <row r="203" spans="2:17">
      <c r="B203" s="892"/>
      <c r="C203" s="892"/>
      <c r="D203" s="962"/>
      <c r="E203" s="892"/>
      <c r="F203" s="898"/>
      <c r="G203" s="898"/>
      <c r="H203" s="897"/>
      <c r="I203" s="897"/>
      <c r="J203" s="892"/>
      <c r="K203" s="892"/>
      <c r="L203" s="896"/>
      <c r="M203" s="896"/>
      <c r="N203" s="896"/>
      <c r="O203" s="896"/>
      <c r="P203" s="896"/>
      <c r="Q203" s="890"/>
    </row>
    <row r="204" spans="2:17">
      <c r="B204" s="892"/>
      <c r="C204" s="892"/>
      <c r="D204" s="962"/>
      <c r="E204" s="892"/>
      <c r="F204" s="898"/>
      <c r="G204" s="898"/>
      <c r="H204" s="897"/>
      <c r="I204" s="897"/>
      <c r="J204" s="892"/>
      <c r="K204" s="892"/>
      <c r="L204" s="896"/>
      <c r="M204" s="896"/>
      <c r="N204" s="896"/>
      <c r="O204" s="896"/>
      <c r="P204" s="896"/>
      <c r="Q204" s="890"/>
    </row>
    <row r="205" spans="2:17">
      <c r="B205" s="892"/>
      <c r="C205" s="892"/>
      <c r="D205" s="962"/>
      <c r="E205" s="892"/>
      <c r="F205" s="898"/>
      <c r="G205" s="898"/>
      <c r="H205" s="897"/>
      <c r="I205" s="897"/>
      <c r="J205" s="892"/>
      <c r="K205" s="892"/>
      <c r="L205" s="896"/>
      <c r="M205" s="896"/>
      <c r="N205" s="896"/>
      <c r="O205" s="896"/>
      <c r="P205" s="896"/>
      <c r="Q205" s="890"/>
    </row>
    <row r="206" spans="2:17">
      <c r="B206" s="892"/>
      <c r="C206" s="892"/>
      <c r="D206" s="962"/>
      <c r="E206" s="892"/>
      <c r="F206" s="898"/>
      <c r="G206" s="898"/>
      <c r="H206" s="897"/>
      <c r="I206" s="897"/>
      <c r="J206" s="892"/>
      <c r="K206" s="892"/>
      <c r="L206" s="896"/>
      <c r="M206" s="896"/>
      <c r="N206" s="896"/>
      <c r="O206" s="896"/>
      <c r="P206" s="896"/>
      <c r="Q206" s="890"/>
    </row>
    <row r="207" spans="2:17">
      <c r="B207" s="892"/>
      <c r="C207" s="892"/>
      <c r="D207" s="962"/>
      <c r="E207" s="892"/>
      <c r="F207" s="898"/>
      <c r="G207" s="898"/>
      <c r="H207" s="897"/>
      <c r="I207" s="897"/>
      <c r="J207" s="892"/>
      <c r="K207" s="892"/>
      <c r="L207" s="896"/>
      <c r="M207" s="896"/>
      <c r="N207" s="896"/>
      <c r="O207" s="896"/>
      <c r="P207" s="896"/>
      <c r="Q207" s="890"/>
    </row>
    <row r="208" spans="2:17">
      <c r="B208" s="892"/>
      <c r="C208" s="892"/>
      <c r="D208" s="962"/>
      <c r="E208" s="892"/>
      <c r="F208" s="898"/>
      <c r="G208" s="898"/>
      <c r="H208" s="897"/>
      <c r="I208" s="897"/>
      <c r="J208" s="892"/>
      <c r="K208" s="892"/>
      <c r="L208" s="896"/>
      <c r="M208" s="896"/>
      <c r="N208" s="896"/>
      <c r="O208" s="896"/>
      <c r="P208" s="896"/>
      <c r="Q208" s="890"/>
    </row>
    <row r="209" spans="2:17">
      <c r="B209" s="890"/>
      <c r="C209" s="890"/>
      <c r="D209" s="962"/>
      <c r="E209" s="890"/>
      <c r="F209" s="890"/>
      <c r="G209" s="890"/>
      <c r="H209" s="890"/>
      <c r="I209" s="890"/>
      <c r="J209" s="890"/>
      <c r="K209" s="890"/>
      <c r="L209" s="890"/>
      <c r="M209" s="890"/>
      <c r="N209" s="890"/>
      <c r="O209" s="890"/>
      <c r="P209" s="890"/>
      <c r="Q209" s="890"/>
    </row>
    <row r="210" spans="2:17">
      <c r="B210" s="892"/>
      <c r="C210" s="892"/>
      <c r="D210" s="890"/>
      <c r="E210" s="890"/>
      <c r="F210" s="890"/>
      <c r="G210" s="890"/>
      <c r="H210" s="890"/>
      <c r="I210" s="890"/>
      <c r="J210" s="890"/>
      <c r="K210" s="890"/>
      <c r="L210" s="890"/>
      <c r="M210" s="890"/>
      <c r="N210" s="891"/>
      <c r="O210" s="890"/>
      <c r="P210" s="890"/>
      <c r="Q210" s="890"/>
    </row>
    <row r="211" spans="2:17">
      <c r="B211" s="892"/>
      <c r="C211" s="892"/>
      <c r="D211" s="890"/>
      <c r="E211" s="890"/>
      <c r="F211" s="890"/>
      <c r="G211" s="890"/>
      <c r="H211" s="890"/>
      <c r="I211" s="890"/>
      <c r="J211" s="890"/>
      <c r="K211" s="890"/>
      <c r="L211" s="890"/>
      <c r="M211" s="890"/>
      <c r="N211" s="891"/>
      <c r="O211" s="890"/>
      <c r="P211" s="890"/>
      <c r="Q211" s="890"/>
    </row>
    <row r="212" spans="2:17">
      <c r="B212" s="892"/>
      <c r="C212" s="892"/>
      <c r="D212" s="890"/>
      <c r="E212" s="890"/>
      <c r="F212" s="890"/>
      <c r="G212" s="890"/>
      <c r="H212" s="890"/>
      <c r="I212" s="890"/>
      <c r="J212" s="890"/>
      <c r="K212" s="890"/>
      <c r="L212" s="890"/>
      <c r="M212" s="890"/>
      <c r="N212" s="891"/>
      <c r="O212" s="890"/>
      <c r="P212" s="890"/>
      <c r="Q212" s="890"/>
    </row>
    <row r="213" spans="2:17">
      <c r="B213" s="919"/>
      <c r="C213" s="919"/>
      <c r="D213" s="919"/>
      <c r="E213" s="919"/>
      <c r="F213" s="919"/>
      <c r="G213" s="919"/>
      <c r="H213" s="919"/>
      <c r="I213" s="919"/>
      <c r="J213" s="919"/>
      <c r="K213" s="919"/>
      <c r="L213" s="919"/>
      <c r="M213" s="919"/>
      <c r="N213" s="919"/>
      <c r="O213" s="919"/>
      <c r="P213" s="919"/>
      <c r="Q213" s="890"/>
    </row>
    <row r="214" spans="2:17">
      <c r="B214" s="919"/>
      <c r="C214" s="919"/>
      <c r="D214" s="919"/>
      <c r="E214" s="919"/>
      <c r="F214" s="919"/>
      <c r="G214" s="919"/>
      <c r="H214" s="919"/>
      <c r="I214" s="919"/>
      <c r="J214" s="919"/>
      <c r="K214" s="919"/>
      <c r="L214" s="919"/>
      <c r="M214" s="919"/>
      <c r="N214" s="919"/>
      <c r="O214" s="919"/>
      <c r="P214" s="919"/>
      <c r="Q214" s="890"/>
    </row>
    <row r="215" spans="2:17">
      <c r="B215" s="964"/>
      <c r="C215" s="910"/>
      <c r="D215" s="908"/>
      <c r="E215" s="908"/>
      <c r="F215" s="908"/>
      <c r="G215" s="908"/>
      <c r="H215" s="892"/>
      <c r="I215" s="892"/>
      <c r="J215" s="892"/>
      <c r="K215" s="892"/>
      <c r="L215" s="909"/>
      <c r="M215" s="909"/>
      <c r="N215" s="908"/>
      <c r="O215" s="908"/>
      <c r="P215" s="908"/>
      <c r="Q215" s="890"/>
    </row>
    <row r="216" spans="2:17">
      <c r="B216" s="965"/>
      <c r="C216" s="910"/>
      <c r="D216" s="908"/>
      <c r="E216" s="908"/>
      <c r="F216" s="908"/>
      <c r="G216" s="908"/>
      <c r="H216" s="892"/>
      <c r="I216" s="892"/>
      <c r="J216" s="892"/>
      <c r="K216" s="892"/>
      <c r="L216" s="909"/>
      <c r="M216" s="909"/>
      <c r="N216" s="908"/>
      <c r="O216" s="908"/>
      <c r="P216" s="908"/>
      <c r="Q216" s="890"/>
    </row>
    <row r="217" spans="2:17">
      <c r="B217" s="964"/>
      <c r="C217" s="910"/>
      <c r="D217" s="908"/>
      <c r="E217" s="908"/>
      <c r="F217" s="908"/>
      <c r="G217" s="908"/>
      <c r="H217" s="892"/>
      <c r="I217" s="892"/>
      <c r="J217" s="892"/>
      <c r="K217" s="892"/>
      <c r="L217" s="909"/>
      <c r="M217" s="909"/>
      <c r="N217" s="908"/>
      <c r="O217" s="908"/>
      <c r="P217" s="908"/>
      <c r="Q217" s="890"/>
    </row>
    <row r="218" spans="2:17">
      <c r="B218" s="892"/>
      <c r="C218" s="892"/>
      <c r="D218" s="962"/>
      <c r="E218" s="892"/>
      <c r="F218" s="896"/>
      <c r="G218" s="896"/>
      <c r="H218" s="897"/>
      <c r="I218" s="897"/>
      <c r="J218" s="905"/>
      <c r="K218" s="892"/>
      <c r="L218" s="896"/>
      <c r="M218" s="896"/>
      <c r="N218" s="896"/>
      <c r="O218" s="896"/>
      <c r="P218" s="896"/>
      <c r="Q218" s="890"/>
    </row>
    <row r="219" spans="2:17">
      <c r="B219" s="892"/>
      <c r="C219" s="892"/>
      <c r="D219" s="962"/>
      <c r="E219" s="892"/>
      <c r="F219" s="896"/>
      <c r="G219" s="896"/>
      <c r="H219" s="897"/>
      <c r="I219" s="897"/>
      <c r="J219" s="906"/>
      <c r="K219" s="890"/>
      <c r="L219" s="896"/>
      <c r="M219" s="896"/>
      <c r="N219" s="896"/>
      <c r="O219" s="896"/>
      <c r="P219" s="896"/>
      <c r="Q219" s="890"/>
    </row>
    <row r="220" spans="2:17">
      <c r="B220" s="892"/>
      <c r="C220" s="892"/>
      <c r="D220" s="962"/>
      <c r="E220" s="892"/>
      <c r="F220" s="896"/>
      <c r="G220" s="896"/>
      <c r="H220" s="897"/>
      <c r="I220" s="897"/>
      <c r="J220" s="906"/>
      <c r="K220" s="890"/>
      <c r="L220" s="896"/>
      <c r="M220" s="896"/>
      <c r="N220" s="896"/>
      <c r="O220" s="896"/>
      <c r="P220" s="896"/>
      <c r="Q220" s="890"/>
    </row>
    <row r="221" spans="2:17">
      <c r="B221" s="892"/>
      <c r="C221" s="892"/>
      <c r="D221" s="962"/>
      <c r="E221" s="892"/>
      <c r="F221" s="896"/>
      <c r="G221" s="896"/>
      <c r="H221" s="897"/>
      <c r="I221" s="897"/>
      <c r="J221" s="906"/>
      <c r="K221" s="890"/>
      <c r="L221" s="896"/>
      <c r="M221" s="896"/>
      <c r="N221" s="896"/>
      <c r="O221" s="896"/>
      <c r="P221" s="896"/>
      <c r="Q221" s="890"/>
    </row>
    <row r="222" spans="2:17">
      <c r="B222" s="892"/>
      <c r="C222" s="892"/>
      <c r="D222" s="962"/>
      <c r="E222" s="892"/>
      <c r="F222" s="896"/>
      <c r="G222" s="896"/>
      <c r="H222" s="897"/>
      <c r="I222" s="897"/>
      <c r="J222" s="906"/>
      <c r="K222" s="890"/>
      <c r="L222" s="896"/>
      <c r="M222" s="896"/>
      <c r="N222" s="896"/>
      <c r="O222" s="896"/>
      <c r="P222" s="896"/>
      <c r="Q222" s="890"/>
    </row>
    <row r="223" spans="2:17">
      <c r="B223" s="892"/>
      <c r="C223" s="892"/>
      <c r="D223" s="962"/>
      <c r="E223" s="892"/>
      <c r="F223" s="896"/>
      <c r="G223" s="896"/>
      <c r="H223" s="897"/>
      <c r="I223" s="897"/>
      <c r="J223" s="906"/>
      <c r="K223" s="890"/>
      <c r="L223" s="896"/>
      <c r="M223" s="896"/>
      <c r="N223" s="896"/>
      <c r="O223" s="896"/>
      <c r="P223" s="896"/>
      <c r="Q223" s="890"/>
    </row>
    <row r="224" spans="2:17">
      <c r="B224" s="892"/>
      <c r="C224" s="892"/>
      <c r="D224" s="962"/>
      <c r="E224" s="892"/>
      <c r="F224" s="896"/>
      <c r="G224" s="896"/>
      <c r="H224" s="897"/>
      <c r="I224" s="897"/>
      <c r="J224" s="906"/>
      <c r="K224" s="890"/>
      <c r="L224" s="896"/>
      <c r="M224" s="896"/>
      <c r="N224" s="896"/>
      <c r="O224" s="896"/>
      <c r="P224" s="896"/>
      <c r="Q224" s="890"/>
    </row>
    <row r="225" spans="2:17">
      <c r="B225" s="892"/>
      <c r="C225" s="892"/>
      <c r="D225" s="962"/>
      <c r="E225" s="892"/>
      <c r="F225" s="896"/>
      <c r="G225" s="896"/>
      <c r="H225" s="897"/>
      <c r="I225" s="897"/>
      <c r="J225" s="906"/>
      <c r="K225" s="890"/>
      <c r="L225" s="896"/>
      <c r="M225" s="896"/>
      <c r="N225" s="896"/>
      <c r="O225" s="896"/>
      <c r="P225" s="896"/>
      <c r="Q225" s="890"/>
    </row>
    <row r="226" spans="2:17">
      <c r="B226" s="892"/>
      <c r="C226" s="892"/>
      <c r="D226" s="962"/>
      <c r="E226" s="892"/>
      <c r="F226" s="896"/>
      <c r="G226" s="896"/>
      <c r="H226" s="897"/>
      <c r="I226" s="897"/>
      <c r="J226" s="906"/>
      <c r="K226" s="890"/>
      <c r="L226" s="896"/>
      <c r="M226" s="896"/>
      <c r="N226" s="896"/>
      <c r="O226" s="896"/>
      <c r="P226" s="896"/>
      <c r="Q226" s="890"/>
    </row>
    <row r="227" spans="2:17">
      <c r="B227" s="892"/>
      <c r="C227" s="892"/>
      <c r="D227" s="962"/>
      <c r="E227" s="892"/>
      <c r="F227" s="896"/>
      <c r="G227" s="896"/>
      <c r="H227" s="897"/>
      <c r="I227" s="897"/>
      <c r="J227" s="906"/>
      <c r="K227" s="890"/>
      <c r="L227" s="896"/>
      <c r="M227" s="896"/>
      <c r="N227" s="896"/>
      <c r="O227" s="896"/>
      <c r="P227" s="896"/>
      <c r="Q227" s="890"/>
    </row>
    <row r="228" spans="2:17">
      <c r="B228" s="892"/>
      <c r="C228" s="892"/>
      <c r="D228" s="962"/>
      <c r="E228" s="892"/>
      <c r="F228" s="896"/>
      <c r="G228" s="896"/>
      <c r="H228" s="897"/>
      <c r="I228" s="897"/>
      <c r="J228" s="906"/>
      <c r="K228" s="890"/>
      <c r="L228" s="896"/>
      <c r="M228" s="896"/>
      <c r="N228" s="896"/>
      <c r="O228" s="896"/>
      <c r="P228" s="896"/>
      <c r="Q228" s="890"/>
    </row>
    <row r="229" spans="2:17">
      <c r="B229" s="892"/>
      <c r="C229" s="892"/>
      <c r="D229" s="962"/>
      <c r="E229" s="892"/>
      <c r="F229" s="896"/>
      <c r="G229" s="896"/>
      <c r="H229" s="897"/>
      <c r="I229" s="897"/>
      <c r="J229" s="906"/>
      <c r="K229" s="890"/>
      <c r="L229" s="896"/>
      <c r="M229" s="896"/>
      <c r="N229" s="896"/>
      <c r="O229" s="896"/>
      <c r="P229" s="896"/>
      <c r="Q229" s="890"/>
    </row>
    <row r="230" spans="2:17">
      <c r="B230" s="892"/>
      <c r="C230" s="892"/>
      <c r="D230" s="892"/>
      <c r="E230" s="892"/>
      <c r="F230" s="896"/>
      <c r="G230" s="896"/>
      <c r="H230" s="897"/>
      <c r="I230" s="897"/>
      <c r="J230" s="890"/>
      <c r="K230" s="890"/>
      <c r="L230" s="896"/>
      <c r="M230" s="896"/>
      <c r="N230" s="896"/>
      <c r="O230" s="896"/>
      <c r="P230" s="966"/>
      <c r="Q230" s="890"/>
    </row>
    <row r="231" spans="2:17">
      <c r="B231" s="892"/>
      <c r="C231" s="892"/>
      <c r="D231" s="892"/>
      <c r="E231" s="892"/>
      <c r="F231" s="896"/>
      <c r="G231" s="896"/>
      <c r="H231" s="897"/>
      <c r="I231" s="897"/>
      <c r="J231" s="890"/>
      <c r="K231" s="890"/>
      <c r="L231" s="896"/>
      <c r="M231" s="896"/>
      <c r="N231" s="896"/>
      <c r="O231" s="896"/>
      <c r="P231" s="966"/>
      <c r="Q231" s="890"/>
    </row>
    <row r="232" spans="2:17">
      <c r="B232" s="892"/>
      <c r="C232" s="892"/>
      <c r="D232" s="892"/>
      <c r="E232" s="892"/>
      <c r="F232" s="896"/>
      <c r="G232" s="896"/>
      <c r="H232" s="897"/>
      <c r="I232" s="897"/>
      <c r="J232" s="890"/>
      <c r="K232" s="890"/>
      <c r="L232" s="901"/>
      <c r="M232" s="896"/>
      <c r="N232" s="896"/>
      <c r="O232" s="896"/>
      <c r="P232" s="966"/>
      <c r="Q232" s="890"/>
    </row>
    <row r="233" spans="2:17">
      <c r="B233" s="892"/>
      <c r="C233" s="892"/>
      <c r="D233" s="892"/>
      <c r="E233" s="892"/>
      <c r="F233" s="896"/>
      <c r="G233" s="896"/>
      <c r="H233" s="897"/>
      <c r="I233" s="897"/>
      <c r="J233" s="890"/>
      <c r="K233" s="890"/>
      <c r="L233" s="901"/>
      <c r="M233" s="896"/>
      <c r="N233" s="896"/>
      <c r="O233" s="896"/>
      <c r="P233" s="966"/>
      <c r="Q233" s="890"/>
    </row>
    <row r="234" spans="2:17">
      <c r="B234" s="892"/>
      <c r="C234" s="892"/>
      <c r="D234" s="963"/>
      <c r="E234" s="892"/>
      <c r="F234" s="898"/>
      <c r="G234" s="898"/>
      <c r="H234" s="897"/>
      <c r="I234" s="897"/>
      <c r="J234" s="905"/>
      <c r="K234" s="892"/>
      <c r="L234" s="896"/>
      <c r="M234" s="896"/>
      <c r="N234" s="896"/>
      <c r="O234" s="896"/>
      <c r="P234" s="966"/>
      <c r="Q234" s="890"/>
    </row>
    <row r="235" spans="2:17">
      <c r="B235" s="892"/>
      <c r="C235" s="892"/>
      <c r="D235" s="963"/>
      <c r="E235" s="892"/>
      <c r="F235" s="898"/>
      <c r="G235" s="898"/>
      <c r="H235" s="897"/>
      <c r="I235" s="897"/>
      <c r="J235" s="892"/>
      <c r="K235" s="892"/>
      <c r="L235" s="896"/>
      <c r="M235" s="896"/>
      <c r="N235" s="896"/>
      <c r="O235" s="896"/>
      <c r="P235" s="966"/>
      <c r="Q235" s="890"/>
    </row>
    <row r="236" spans="2:17">
      <c r="B236" s="892"/>
      <c r="C236" s="892"/>
      <c r="D236" s="963"/>
      <c r="E236" s="892"/>
      <c r="F236" s="898"/>
      <c r="G236" s="898"/>
      <c r="H236" s="897"/>
      <c r="I236" s="897"/>
      <c r="J236" s="892"/>
      <c r="K236" s="892"/>
      <c r="L236" s="896"/>
      <c r="M236" s="896"/>
      <c r="N236" s="896"/>
      <c r="O236" s="896"/>
      <c r="P236" s="896"/>
      <c r="Q236" s="890"/>
    </row>
    <row r="237" spans="2:17">
      <c r="B237" s="902"/>
      <c r="C237" s="902"/>
      <c r="D237" s="963"/>
      <c r="E237" s="892"/>
      <c r="F237" s="896"/>
      <c r="G237" s="896"/>
      <c r="H237" s="897"/>
      <c r="I237" s="897"/>
      <c r="J237" s="892"/>
      <c r="K237" s="892"/>
      <c r="L237" s="901"/>
      <c r="M237" s="901"/>
      <c r="N237" s="896"/>
      <c r="O237" s="896"/>
      <c r="P237" s="896"/>
      <c r="Q237" s="890"/>
    </row>
    <row r="238" spans="2:17">
      <c r="B238" s="892"/>
      <c r="C238" s="892"/>
      <c r="D238" s="963"/>
      <c r="E238" s="892"/>
      <c r="F238" s="900"/>
      <c r="G238" s="898"/>
      <c r="H238" s="897"/>
      <c r="I238" s="897"/>
      <c r="J238" s="892"/>
      <c r="K238" s="892"/>
      <c r="L238" s="896"/>
      <c r="M238" s="896"/>
      <c r="N238" s="896"/>
      <c r="O238" s="896"/>
      <c r="P238" s="896"/>
      <c r="Q238" s="890"/>
    </row>
    <row r="239" spans="2:17">
      <c r="B239" s="892"/>
      <c r="C239" s="892"/>
      <c r="D239" s="892"/>
      <c r="E239" s="892"/>
      <c r="F239" s="898"/>
      <c r="G239" s="898"/>
      <c r="H239" s="897"/>
      <c r="I239" s="897"/>
      <c r="J239" s="892"/>
      <c r="K239" s="892"/>
      <c r="L239" s="896"/>
      <c r="M239" s="896"/>
      <c r="N239" s="896"/>
      <c r="O239" s="896"/>
      <c r="P239" s="896"/>
      <c r="Q239" s="890"/>
    </row>
    <row r="240" spans="2:17">
      <c r="B240" s="892"/>
      <c r="C240" s="892"/>
      <c r="D240" s="892"/>
      <c r="E240" s="892"/>
      <c r="F240" s="898"/>
      <c r="G240" s="898"/>
      <c r="H240" s="897"/>
      <c r="I240" s="897"/>
      <c r="J240" s="892"/>
      <c r="K240" s="892"/>
      <c r="L240" s="896"/>
      <c r="M240" s="896"/>
      <c r="N240" s="896"/>
      <c r="O240" s="896"/>
      <c r="P240" s="896"/>
      <c r="Q240" s="890"/>
    </row>
    <row r="241" spans="2:17">
      <c r="B241" s="892"/>
      <c r="C241" s="892"/>
      <c r="D241" s="892"/>
      <c r="E241" s="892"/>
      <c r="F241" s="898"/>
      <c r="G241" s="898"/>
      <c r="H241" s="897"/>
      <c r="I241" s="897"/>
      <c r="J241" s="892"/>
      <c r="K241" s="892"/>
      <c r="L241" s="896"/>
      <c r="M241" s="896"/>
      <c r="N241" s="896"/>
      <c r="O241" s="896"/>
      <c r="P241" s="896"/>
      <c r="Q241" s="890"/>
    </row>
    <row r="242" spans="2:17">
      <c r="B242" s="892"/>
      <c r="C242" s="892"/>
      <c r="D242" s="962"/>
      <c r="E242" s="892"/>
      <c r="F242" s="898"/>
      <c r="G242" s="898"/>
      <c r="H242" s="897"/>
      <c r="I242" s="897"/>
      <c r="J242" s="892"/>
      <c r="K242" s="892"/>
      <c r="L242" s="896"/>
      <c r="M242" s="896"/>
      <c r="N242" s="896"/>
      <c r="O242" s="896"/>
      <c r="P242" s="896"/>
      <c r="Q242" s="890"/>
    </row>
    <row r="243" spans="2:17">
      <c r="B243" s="892"/>
      <c r="C243" s="892"/>
      <c r="D243" s="962"/>
      <c r="E243" s="892"/>
      <c r="F243" s="898"/>
      <c r="G243" s="898"/>
      <c r="H243" s="897"/>
      <c r="I243" s="897"/>
      <c r="J243" s="892"/>
      <c r="K243" s="892"/>
      <c r="L243" s="896"/>
      <c r="M243" s="896"/>
      <c r="N243" s="896"/>
      <c r="O243" s="896"/>
      <c r="P243" s="896"/>
      <c r="Q243" s="890"/>
    </row>
    <row r="244" spans="2:17">
      <c r="B244" s="892"/>
      <c r="C244" s="892"/>
      <c r="D244" s="962"/>
      <c r="E244" s="892"/>
      <c r="F244" s="898"/>
      <c r="G244" s="898"/>
      <c r="H244" s="897"/>
      <c r="I244" s="897"/>
      <c r="J244" s="892"/>
      <c r="K244" s="892"/>
      <c r="L244" s="896"/>
      <c r="M244" s="896"/>
      <c r="N244" s="896"/>
      <c r="O244" s="896"/>
      <c r="P244" s="896"/>
      <c r="Q244" s="890"/>
    </row>
    <row r="245" spans="2:17">
      <c r="B245" s="892"/>
      <c r="C245" s="892"/>
      <c r="D245" s="962"/>
      <c r="E245" s="892"/>
      <c r="F245" s="898"/>
      <c r="G245" s="898"/>
      <c r="H245" s="897"/>
      <c r="I245" s="897"/>
      <c r="J245" s="892"/>
      <c r="K245" s="892"/>
      <c r="L245" s="896"/>
      <c r="M245" s="896"/>
      <c r="N245" s="896"/>
      <c r="O245" s="896"/>
      <c r="P245" s="896"/>
      <c r="Q245" s="890"/>
    </row>
    <row r="246" spans="2:17">
      <c r="B246" s="892"/>
      <c r="C246" s="892"/>
      <c r="D246" s="962"/>
      <c r="E246" s="892"/>
      <c r="F246" s="898"/>
      <c r="G246" s="898"/>
      <c r="H246" s="897"/>
      <c r="I246" s="897"/>
      <c r="J246" s="892"/>
      <c r="K246" s="892"/>
      <c r="L246" s="896"/>
      <c r="M246" s="896"/>
      <c r="N246" s="896"/>
      <c r="O246" s="896"/>
      <c r="P246" s="896"/>
      <c r="Q246" s="890"/>
    </row>
    <row r="247" spans="2:17">
      <c r="B247" s="892"/>
      <c r="C247" s="892"/>
      <c r="D247" s="962"/>
      <c r="E247" s="892"/>
      <c r="F247" s="898"/>
      <c r="G247" s="898"/>
      <c r="H247" s="897"/>
      <c r="I247" s="897"/>
      <c r="J247" s="892"/>
      <c r="K247" s="892"/>
      <c r="L247" s="896"/>
      <c r="M247" s="896"/>
      <c r="N247" s="896"/>
      <c r="O247" s="896"/>
      <c r="P247" s="896"/>
      <c r="Q247" s="890"/>
    </row>
    <row r="248" spans="2:17">
      <c r="B248" s="892"/>
      <c r="C248" s="892"/>
      <c r="D248" s="962"/>
      <c r="E248" s="892"/>
      <c r="F248" s="898"/>
      <c r="G248" s="898"/>
      <c r="H248" s="897"/>
      <c r="I248" s="897"/>
      <c r="J248" s="892"/>
      <c r="K248" s="892"/>
      <c r="L248" s="896"/>
      <c r="M248" s="896"/>
      <c r="N248" s="896"/>
      <c r="O248" s="896"/>
      <c r="P248" s="896"/>
      <c r="Q248" s="890"/>
    </row>
    <row r="249" spans="2:17">
      <c r="B249" s="892"/>
      <c r="C249" s="892"/>
      <c r="D249" s="962"/>
      <c r="E249" s="892"/>
      <c r="F249" s="898"/>
      <c r="G249" s="898"/>
      <c r="H249" s="897"/>
      <c r="I249" s="897"/>
      <c r="J249" s="892"/>
      <c r="K249" s="892"/>
      <c r="L249" s="896"/>
      <c r="M249" s="896"/>
      <c r="N249" s="896"/>
      <c r="O249" s="896"/>
      <c r="P249" s="896"/>
      <c r="Q249" s="890"/>
    </row>
    <row r="250" spans="2:17">
      <c r="B250" s="892"/>
      <c r="C250" s="892"/>
      <c r="D250" s="962"/>
      <c r="E250" s="892"/>
      <c r="F250" s="898"/>
      <c r="G250" s="898"/>
      <c r="H250" s="897"/>
      <c r="I250" s="897"/>
      <c r="J250" s="892"/>
      <c r="K250" s="892"/>
      <c r="L250" s="896"/>
      <c r="M250" s="896"/>
      <c r="N250" s="896"/>
      <c r="O250" s="896"/>
      <c r="P250" s="896"/>
      <c r="Q250" s="890"/>
    </row>
    <row r="251" spans="2:17">
      <c r="B251" s="890"/>
      <c r="C251" s="890"/>
      <c r="D251" s="962"/>
      <c r="E251" s="890"/>
      <c r="F251" s="890"/>
      <c r="G251" s="890"/>
      <c r="H251" s="890"/>
      <c r="I251" s="890"/>
      <c r="J251" s="890"/>
      <c r="K251" s="890"/>
      <c r="L251" s="890"/>
      <c r="M251" s="890"/>
      <c r="N251" s="890"/>
      <c r="O251" s="890"/>
      <c r="P251" s="890"/>
      <c r="Q251" s="890"/>
    </row>
    <row r="252" spans="2:17">
      <c r="B252" s="892"/>
      <c r="C252" s="892"/>
      <c r="D252" s="962"/>
      <c r="E252" s="890"/>
      <c r="F252" s="890"/>
      <c r="G252" s="890"/>
      <c r="H252" s="890"/>
      <c r="I252" s="890"/>
      <c r="J252" s="890"/>
      <c r="K252" s="890"/>
      <c r="L252" s="890"/>
      <c r="M252" s="890"/>
      <c r="N252" s="891"/>
      <c r="O252" s="890"/>
      <c r="P252" s="890"/>
      <c r="Q252" s="890"/>
    </row>
    <row r="253" spans="2:17">
      <c r="B253" s="892"/>
      <c r="C253" s="892"/>
      <c r="D253" s="890"/>
      <c r="E253" s="890"/>
      <c r="F253" s="890"/>
      <c r="G253" s="890"/>
      <c r="H253" s="890"/>
      <c r="I253" s="890"/>
      <c r="J253" s="890"/>
      <c r="K253" s="890"/>
      <c r="L253" s="890"/>
      <c r="M253" s="890"/>
      <c r="N253" s="891"/>
      <c r="O253" s="890"/>
      <c r="P253" s="890"/>
      <c r="Q253" s="890"/>
    </row>
    <row r="254" spans="2:17">
      <c r="B254" s="892"/>
      <c r="C254" s="892"/>
      <c r="D254" s="890"/>
      <c r="E254" s="890"/>
      <c r="F254" s="890"/>
      <c r="G254" s="890"/>
      <c r="H254" s="890"/>
      <c r="I254" s="890"/>
      <c r="J254" s="890"/>
      <c r="K254" s="890"/>
      <c r="L254" s="890"/>
      <c r="M254" s="890"/>
      <c r="N254" s="891"/>
      <c r="O254" s="890"/>
      <c r="P254" s="890"/>
      <c r="Q254" s="890"/>
    </row>
    <row r="255" spans="2:17">
      <c r="B255" s="919"/>
      <c r="C255" s="919"/>
      <c r="D255" s="919"/>
      <c r="E255" s="919"/>
      <c r="F255" s="919"/>
      <c r="G255" s="919"/>
      <c r="H255" s="919"/>
      <c r="I255" s="919"/>
      <c r="J255" s="919"/>
      <c r="K255" s="919"/>
      <c r="L255" s="919"/>
      <c r="M255" s="919"/>
      <c r="N255" s="919"/>
      <c r="O255" s="919"/>
      <c r="P255" s="919"/>
      <c r="Q255" s="890"/>
    </row>
    <row r="256" spans="2:17">
      <c r="B256" s="919"/>
      <c r="C256" s="919"/>
      <c r="D256" s="919"/>
      <c r="E256" s="919"/>
      <c r="F256" s="919"/>
      <c r="G256" s="919"/>
      <c r="H256" s="919"/>
      <c r="I256" s="919"/>
      <c r="J256" s="919"/>
      <c r="K256" s="919"/>
      <c r="L256" s="919"/>
      <c r="M256" s="919"/>
      <c r="N256" s="919"/>
      <c r="O256" s="919"/>
      <c r="P256" s="919"/>
      <c r="Q256" s="890"/>
    </row>
    <row r="257" spans="2:17">
      <c r="B257" s="919"/>
      <c r="C257" s="919"/>
      <c r="D257" s="919"/>
      <c r="E257" s="919"/>
      <c r="F257" s="919"/>
      <c r="G257" s="919"/>
      <c r="H257" s="919"/>
      <c r="I257" s="919"/>
      <c r="J257" s="919"/>
      <c r="K257" s="919"/>
      <c r="L257" s="919"/>
      <c r="M257" s="919"/>
      <c r="N257" s="919"/>
      <c r="O257" s="919"/>
      <c r="P257" s="919"/>
      <c r="Q257" s="890"/>
    </row>
    <row r="258" spans="2:17">
      <c r="B258" s="919"/>
      <c r="C258" s="919"/>
      <c r="D258" s="919"/>
      <c r="E258" s="919"/>
      <c r="F258" s="919"/>
      <c r="G258" s="919"/>
      <c r="H258" s="919"/>
      <c r="I258" s="919"/>
      <c r="J258" s="919"/>
      <c r="K258" s="919"/>
      <c r="L258" s="919"/>
      <c r="M258" s="919"/>
      <c r="N258" s="919"/>
      <c r="O258" s="919"/>
      <c r="P258" s="919"/>
      <c r="Q258" s="890"/>
    </row>
    <row r="259" spans="2:17">
      <c r="B259" s="919"/>
      <c r="C259" s="919"/>
      <c r="D259" s="919"/>
      <c r="E259" s="919"/>
      <c r="F259" s="919"/>
      <c r="G259" s="919"/>
      <c r="H259" s="919"/>
      <c r="I259" s="919"/>
      <c r="J259" s="919"/>
      <c r="K259" s="919"/>
      <c r="L259" s="919"/>
      <c r="M259" s="919"/>
      <c r="N259" s="919"/>
      <c r="O259" s="919"/>
      <c r="P259" s="919"/>
      <c r="Q259" s="890"/>
    </row>
    <row r="260" spans="2:17">
      <c r="B260" s="919"/>
      <c r="C260" s="919"/>
      <c r="D260" s="919"/>
      <c r="E260" s="919"/>
      <c r="F260" s="919"/>
      <c r="G260" s="919"/>
      <c r="H260" s="919"/>
      <c r="I260" s="919"/>
      <c r="J260" s="919"/>
      <c r="K260" s="919"/>
      <c r="L260" s="919"/>
      <c r="M260" s="919"/>
      <c r="N260" s="919"/>
      <c r="O260" s="919"/>
      <c r="P260" s="919"/>
      <c r="Q260" s="890"/>
    </row>
    <row r="261" spans="2:17">
      <c r="B261" s="919"/>
      <c r="C261" s="919"/>
      <c r="D261" s="919"/>
      <c r="E261" s="919"/>
      <c r="F261" s="919"/>
      <c r="G261" s="919"/>
      <c r="H261" s="919"/>
      <c r="I261" s="919"/>
      <c r="J261" s="919"/>
      <c r="K261" s="919"/>
      <c r="L261" s="919"/>
      <c r="M261" s="919"/>
      <c r="N261" s="919"/>
      <c r="O261" s="919"/>
      <c r="P261" s="919"/>
      <c r="Q261" s="890"/>
    </row>
    <row r="262" spans="2:17">
      <c r="B262" s="919"/>
      <c r="C262" s="919"/>
      <c r="D262" s="919"/>
      <c r="E262" s="919"/>
      <c r="F262" s="919"/>
      <c r="G262" s="919"/>
      <c r="H262" s="919"/>
      <c r="I262" s="919"/>
      <c r="J262" s="919"/>
      <c r="K262" s="919"/>
      <c r="L262" s="919"/>
      <c r="M262" s="919"/>
      <c r="N262" s="919"/>
      <c r="O262" s="919"/>
      <c r="P262" s="919"/>
      <c r="Q262" s="890"/>
    </row>
    <row r="263" spans="2:17">
      <c r="B263" s="919"/>
      <c r="C263" s="919"/>
      <c r="D263" s="919"/>
      <c r="E263" s="919"/>
      <c r="F263" s="919"/>
      <c r="G263" s="919"/>
      <c r="H263" s="919"/>
      <c r="I263" s="919"/>
      <c r="J263" s="919"/>
      <c r="K263" s="919"/>
      <c r="L263" s="919"/>
      <c r="M263" s="919"/>
      <c r="N263" s="919"/>
      <c r="O263" s="919"/>
      <c r="P263" s="919"/>
      <c r="Q263" s="890"/>
    </row>
    <row r="264" spans="2:17">
      <c r="B264" s="919"/>
      <c r="C264" s="919"/>
      <c r="D264" s="919"/>
      <c r="E264" s="919"/>
      <c r="F264" s="919"/>
      <c r="G264" s="919"/>
      <c r="H264" s="919"/>
      <c r="I264" s="919"/>
      <c r="J264" s="919"/>
      <c r="K264" s="919"/>
      <c r="L264" s="919"/>
      <c r="M264" s="919"/>
      <c r="N264" s="919"/>
      <c r="O264" s="919"/>
      <c r="P264" s="919"/>
      <c r="Q264" s="890"/>
    </row>
    <row r="265" spans="2:17">
      <c r="B265" s="919"/>
      <c r="C265" s="919"/>
      <c r="D265" s="919"/>
      <c r="E265" s="919"/>
      <c r="F265" s="919"/>
      <c r="G265" s="919"/>
      <c r="H265" s="919"/>
      <c r="I265" s="919"/>
      <c r="J265" s="919"/>
      <c r="K265" s="919"/>
      <c r="L265" s="919"/>
      <c r="M265" s="919"/>
      <c r="N265" s="919"/>
      <c r="O265" s="919"/>
      <c r="P265" s="919"/>
      <c r="Q265" s="890"/>
    </row>
    <row r="266" spans="2:17">
      <c r="B266" s="919"/>
      <c r="C266" s="919"/>
      <c r="D266" s="919"/>
      <c r="E266" s="919"/>
      <c r="F266" s="919"/>
      <c r="G266" s="919"/>
      <c r="H266" s="919"/>
      <c r="I266" s="919"/>
      <c r="J266" s="919"/>
      <c r="K266" s="919"/>
      <c r="L266" s="919"/>
      <c r="M266" s="919"/>
      <c r="N266" s="919"/>
      <c r="O266" s="919"/>
      <c r="P266" s="919"/>
      <c r="Q266" s="890"/>
    </row>
    <row r="267" spans="2:17">
      <c r="B267" s="919"/>
      <c r="C267" s="919"/>
      <c r="D267" s="919"/>
      <c r="E267" s="919"/>
      <c r="F267" s="919"/>
      <c r="G267" s="919"/>
      <c r="H267" s="919"/>
      <c r="I267" s="919"/>
      <c r="J267" s="919"/>
      <c r="K267" s="919"/>
      <c r="L267" s="919"/>
      <c r="M267" s="919"/>
      <c r="N267" s="919"/>
      <c r="O267" s="919"/>
      <c r="P267" s="919"/>
      <c r="Q267" s="890"/>
    </row>
    <row r="268" spans="2:17">
      <c r="B268" s="919"/>
      <c r="C268" s="919"/>
      <c r="D268" s="919"/>
      <c r="E268" s="919"/>
      <c r="F268" s="919"/>
      <c r="G268" s="919"/>
      <c r="H268" s="919"/>
      <c r="I268" s="919"/>
      <c r="J268" s="919"/>
      <c r="K268" s="919"/>
      <c r="L268" s="919"/>
      <c r="M268" s="919"/>
      <c r="N268" s="919"/>
      <c r="O268" s="919"/>
      <c r="P268" s="919"/>
      <c r="Q268" s="890"/>
    </row>
    <row r="269" spans="2:17">
      <c r="B269" s="919"/>
      <c r="C269" s="919"/>
      <c r="D269" s="919"/>
      <c r="E269" s="919"/>
      <c r="F269" s="919"/>
      <c r="G269" s="919"/>
      <c r="H269" s="919"/>
      <c r="I269" s="919"/>
      <c r="J269" s="919"/>
      <c r="K269" s="919"/>
      <c r="L269" s="919"/>
      <c r="M269" s="919"/>
      <c r="N269" s="919"/>
      <c r="O269" s="919"/>
      <c r="P269" s="919"/>
      <c r="Q269" s="890"/>
    </row>
    <row r="270" spans="2:17">
      <c r="B270" s="919"/>
      <c r="C270" s="919"/>
      <c r="D270" s="919"/>
      <c r="E270" s="919"/>
      <c r="F270" s="919"/>
      <c r="G270" s="919"/>
      <c r="H270" s="919"/>
      <c r="I270" s="919"/>
      <c r="J270" s="919"/>
      <c r="K270" s="919"/>
      <c r="L270" s="919"/>
      <c r="M270" s="919"/>
      <c r="N270" s="919"/>
      <c r="O270" s="919"/>
      <c r="P270" s="919"/>
      <c r="Q270" s="890"/>
    </row>
    <row r="271" spans="2:17">
      <c r="B271" s="919"/>
      <c r="C271" s="919"/>
      <c r="D271" s="919"/>
      <c r="E271" s="919"/>
      <c r="F271" s="919"/>
      <c r="G271" s="919"/>
      <c r="H271" s="919"/>
      <c r="I271" s="919"/>
      <c r="J271" s="919"/>
      <c r="K271" s="919"/>
      <c r="L271" s="919"/>
      <c r="M271" s="919"/>
      <c r="N271" s="919"/>
      <c r="O271" s="919"/>
      <c r="P271" s="919"/>
      <c r="Q271" s="890"/>
    </row>
    <row r="272" spans="2:17">
      <c r="B272" s="919"/>
      <c r="C272" s="919"/>
      <c r="D272" s="919"/>
      <c r="E272" s="919"/>
      <c r="F272" s="919"/>
      <c r="G272" s="919"/>
      <c r="H272" s="919"/>
      <c r="I272" s="919"/>
      <c r="J272" s="919"/>
      <c r="K272" s="919"/>
      <c r="L272" s="919"/>
      <c r="M272" s="919"/>
      <c r="N272" s="919"/>
      <c r="O272" s="919"/>
      <c r="P272" s="919"/>
      <c r="Q272" s="890"/>
    </row>
    <row r="273" spans="2:17">
      <c r="B273" s="919"/>
      <c r="C273" s="919"/>
      <c r="D273" s="919"/>
      <c r="E273" s="919"/>
      <c r="F273" s="919"/>
      <c r="G273" s="919"/>
      <c r="H273" s="919"/>
      <c r="I273" s="919"/>
      <c r="J273" s="919"/>
      <c r="K273" s="919"/>
      <c r="L273" s="919"/>
      <c r="M273" s="919"/>
      <c r="N273" s="919"/>
      <c r="O273" s="919"/>
      <c r="P273" s="919"/>
      <c r="Q273" s="890"/>
    </row>
    <row r="274" spans="2:17">
      <c r="B274" s="919"/>
      <c r="C274" s="919"/>
      <c r="D274" s="919"/>
      <c r="E274" s="919"/>
      <c r="F274" s="919"/>
      <c r="G274" s="919"/>
      <c r="H274" s="919"/>
      <c r="I274" s="919"/>
      <c r="J274" s="919"/>
      <c r="K274" s="919"/>
      <c r="L274" s="919"/>
      <c r="M274" s="919"/>
      <c r="N274" s="919"/>
      <c r="O274" s="919"/>
      <c r="P274" s="919"/>
      <c r="Q274" s="890"/>
    </row>
    <row r="275" spans="2:17">
      <c r="B275" s="919"/>
      <c r="C275" s="919"/>
      <c r="D275" s="919"/>
      <c r="E275" s="919"/>
      <c r="F275" s="919"/>
      <c r="G275" s="919"/>
      <c r="H275" s="919"/>
      <c r="I275" s="919"/>
      <c r="J275" s="919"/>
      <c r="K275" s="919"/>
      <c r="L275" s="919"/>
      <c r="M275" s="919"/>
      <c r="N275" s="919"/>
      <c r="O275" s="919"/>
      <c r="P275" s="919"/>
      <c r="Q275" s="890"/>
    </row>
    <row r="276" spans="2:17">
      <c r="B276" s="919"/>
      <c r="C276" s="919"/>
      <c r="D276" s="919"/>
      <c r="E276" s="919"/>
      <c r="F276" s="919"/>
      <c r="G276" s="919"/>
      <c r="H276" s="919"/>
      <c r="I276" s="919"/>
      <c r="J276" s="919"/>
      <c r="K276" s="919"/>
      <c r="L276" s="919"/>
      <c r="M276" s="919"/>
      <c r="N276" s="919"/>
      <c r="O276" s="919"/>
      <c r="P276" s="919"/>
      <c r="Q276" s="890"/>
    </row>
    <row r="277" spans="2:17">
      <c r="B277" s="919"/>
      <c r="C277" s="919"/>
      <c r="D277" s="919"/>
      <c r="E277" s="919"/>
      <c r="F277" s="919"/>
      <c r="G277" s="919"/>
      <c r="H277" s="919"/>
      <c r="I277" s="919"/>
      <c r="J277" s="919"/>
      <c r="K277" s="919"/>
      <c r="L277" s="919"/>
      <c r="M277" s="919"/>
      <c r="N277" s="919"/>
      <c r="O277" s="919"/>
      <c r="P277" s="919"/>
      <c r="Q277" s="890"/>
    </row>
    <row r="278" spans="2:17">
      <c r="B278" s="919"/>
      <c r="C278" s="919"/>
      <c r="D278" s="919"/>
      <c r="E278" s="919"/>
      <c r="F278" s="919"/>
      <c r="G278" s="919"/>
      <c r="H278" s="919"/>
      <c r="I278" s="919"/>
      <c r="J278" s="919"/>
      <c r="K278" s="919"/>
      <c r="L278" s="919"/>
      <c r="M278" s="919"/>
      <c r="N278" s="919"/>
      <c r="O278" s="919"/>
      <c r="P278" s="919"/>
      <c r="Q278" s="890"/>
    </row>
    <row r="279" spans="2:17">
      <c r="B279" s="919"/>
      <c r="C279" s="919"/>
      <c r="D279" s="919"/>
      <c r="E279" s="919"/>
      <c r="F279" s="919"/>
      <c r="G279" s="919"/>
      <c r="H279" s="919"/>
      <c r="I279" s="919"/>
      <c r="J279" s="919"/>
      <c r="K279" s="919"/>
      <c r="L279" s="919"/>
      <c r="M279" s="919"/>
      <c r="N279" s="919"/>
      <c r="O279" s="919"/>
      <c r="P279" s="919"/>
      <c r="Q279" s="890"/>
    </row>
    <row r="280" spans="2:17">
      <c r="B280" s="919"/>
      <c r="C280" s="919"/>
      <c r="D280" s="919"/>
      <c r="E280" s="919"/>
      <c r="F280" s="919"/>
      <c r="G280" s="919"/>
      <c r="H280" s="919"/>
      <c r="I280" s="919"/>
      <c r="J280" s="919"/>
      <c r="K280" s="919"/>
      <c r="L280" s="919"/>
      <c r="M280" s="919"/>
      <c r="N280" s="919"/>
      <c r="O280" s="919"/>
      <c r="P280" s="919"/>
      <c r="Q280" s="890"/>
    </row>
    <row r="281" spans="2:17">
      <c r="B281" s="919"/>
      <c r="C281" s="919"/>
      <c r="D281" s="919"/>
      <c r="E281" s="919"/>
      <c r="F281" s="919"/>
      <c r="G281" s="919"/>
      <c r="H281" s="919"/>
      <c r="I281" s="919"/>
      <c r="J281" s="919"/>
      <c r="K281" s="919"/>
      <c r="L281" s="919"/>
      <c r="M281" s="919"/>
      <c r="N281" s="919"/>
      <c r="O281" s="919"/>
      <c r="P281" s="919"/>
      <c r="Q281" s="890"/>
    </row>
    <row r="282" spans="2:17">
      <c r="B282" s="919"/>
      <c r="C282" s="919"/>
      <c r="D282" s="919"/>
      <c r="E282" s="919"/>
      <c r="F282" s="919"/>
      <c r="G282" s="919"/>
      <c r="H282" s="919"/>
      <c r="I282" s="919"/>
      <c r="J282" s="919"/>
      <c r="K282" s="919"/>
      <c r="L282" s="919"/>
      <c r="M282" s="919"/>
      <c r="N282" s="919"/>
      <c r="O282" s="919"/>
      <c r="P282" s="919"/>
      <c r="Q282" s="890"/>
    </row>
    <row r="283" spans="2:17">
      <c r="B283" s="919"/>
      <c r="C283" s="919"/>
      <c r="D283" s="919"/>
      <c r="E283" s="919"/>
      <c r="F283" s="919"/>
      <c r="G283" s="919"/>
      <c r="H283" s="919"/>
      <c r="I283" s="919"/>
      <c r="J283" s="919"/>
      <c r="K283" s="919"/>
      <c r="L283" s="919"/>
      <c r="M283" s="919"/>
      <c r="N283" s="919"/>
      <c r="O283" s="919"/>
      <c r="P283" s="919"/>
      <c r="Q283" s="890"/>
    </row>
    <row r="284" spans="2:17">
      <c r="B284" s="919"/>
      <c r="C284" s="919"/>
      <c r="D284" s="919"/>
      <c r="E284" s="919"/>
      <c r="F284" s="919"/>
      <c r="G284" s="919"/>
      <c r="H284" s="919"/>
      <c r="I284" s="919"/>
      <c r="J284" s="919"/>
      <c r="K284" s="919"/>
      <c r="L284" s="919"/>
      <c r="M284" s="919"/>
      <c r="N284" s="919"/>
      <c r="O284" s="919"/>
      <c r="P284" s="919"/>
      <c r="Q284" s="890"/>
    </row>
    <row r="285" spans="2:17">
      <c r="B285" s="919"/>
      <c r="C285" s="919"/>
      <c r="D285" s="919"/>
      <c r="E285" s="919"/>
      <c r="F285" s="919"/>
      <c r="G285" s="919"/>
      <c r="H285" s="919"/>
      <c r="I285" s="919"/>
      <c r="J285" s="919"/>
      <c r="K285" s="919"/>
      <c r="L285" s="919"/>
      <c r="M285" s="919"/>
      <c r="N285" s="919"/>
      <c r="O285" s="919"/>
      <c r="P285" s="919"/>
      <c r="Q285" s="890"/>
    </row>
    <row r="286" spans="2:17">
      <c r="B286" s="919"/>
      <c r="C286" s="919"/>
      <c r="D286" s="919"/>
      <c r="E286" s="919"/>
      <c r="F286" s="919"/>
      <c r="G286" s="919"/>
      <c r="H286" s="919"/>
      <c r="I286" s="919"/>
      <c r="J286" s="919"/>
      <c r="K286" s="919"/>
      <c r="L286" s="919"/>
      <c r="M286" s="919"/>
      <c r="N286" s="919"/>
      <c r="O286" s="919"/>
      <c r="P286" s="919"/>
      <c r="Q286" s="890"/>
    </row>
    <row r="287" spans="2:17">
      <c r="B287" s="919"/>
      <c r="C287" s="919"/>
      <c r="D287" s="919"/>
      <c r="E287" s="919"/>
      <c r="F287" s="919"/>
      <c r="G287" s="919"/>
      <c r="H287" s="919"/>
      <c r="I287" s="919"/>
      <c r="J287" s="919"/>
      <c r="K287" s="919"/>
      <c r="L287" s="919"/>
      <c r="M287" s="919"/>
      <c r="N287" s="919"/>
      <c r="O287" s="919"/>
      <c r="P287" s="919"/>
      <c r="Q287" s="890"/>
    </row>
    <row r="288" spans="2:17">
      <c r="B288" s="919"/>
      <c r="C288" s="919"/>
      <c r="D288" s="919"/>
      <c r="E288" s="919"/>
      <c r="F288" s="919"/>
      <c r="G288" s="919"/>
      <c r="H288" s="919"/>
      <c r="I288" s="919"/>
      <c r="J288" s="919"/>
      <c r="K288" s="919"/>
      <c r="L288" s="919"/>
      <c r="M288" s="919"/>
      <c r="N288" s="919"/>
      <c r="O288" s="919"/>
      <c r="P288" s="919"/>
      <c r="Q288" s="890"/>
    </row>
    <row r="289" spans="2:17">
      <c r="B289" s="919"/>
      <c r="C289" s="919"/>
      <c r="D289" s="919"/>
      <c r="E289" s="919"/>
      <c r="F289" s="919"/>
      <c r="G289" s="919"/>
      <c r="H289" s="919"/>
      <c r="I289" s="919"/>
      <c r="J289" s="919"/>
      <c r="K289" s="919"/>
      <c r="L289" s="919"/>
      <c r="M289" s="919"/>
      <c r="N289" s="919"/>
      <c r="O289" s="919"/>
      <c r="P289" s="919"/>
      <c r="Q289" s="890"/>
    </row>
    <row r="290" spans="2:17">
      <c r="B290" s="919"/>
      <c r="C290" s="919"/>
      <c r="D290" s="919"/>
      <c r="E290" s="919"/>
      <c r="F290" s="919"/>
      <c r="G290" s="919"/>
      <c r="H290" s="919"/>
      <c r="I290" s="919"/>
      <c r="J290" s="919"/>
      <c r="K290" s="919"/>
      <c r="L290" s="919"/>
      <c r="M290" s="919"/>
      <c r="N290" s="919"/>
      <c r="O290" s="919"/>
      <c r="P290" s="919"/>
      <c r="Q290" s="890"/>
    </row>
    <row r="291" spans="2:17">
      <c r="B291" s="919"/>
      <c r="C291" s="919"/>
      <c r="D291" s="919"/>
      <c r="E291" s="919"/>
      <c r="F291" s="919"/>
      <c r="G291" s="919"/>
      <c r="H291" s="919"/>
      <c r="I291" s="919"/>
      <c r="J291" s="919"/>
      <c r="K291" s="919"/>
      <c r="L291" s="919"/>
      <c r="M291" s="919"/>
      <c r="N291" s="919"/>
      <c r="O291" s="919"/>
      <c r="P291" s="919"/>
      <c r="Q291" s="890"/>
    </row>
    <row r="292" spans="2:17">
      <c r="B292" s="919"/>
      <c r="C292" s="919"/>
      <c r="D292" s="919"/>
      <c r="E292" s="919"/>
      <c r="F292" s="919"/>
      <c r="G292" s="919"/>
      <c r="H292" s="919"/>
      <c r="I292" s="919"/>
      <c r="J292" s="919"/>
      <c r="K292" s="919"/>
      <c r="L292" s="919"/>
      <c r="M292" s="919"/>
      <c r="N292" s="919"/>
      <c r="O292" s="919"/>
      <c r="P292" s="919"/>
      <c r="Q292" s="890"/>
    </row>
    <row r="293" spans="2:17">
      <c r="B293" s="919"/>
      <c r="C293" s="919"/>
      <c r="D293" s="919"/>
      <c r="E293" s="919"/>
      <c r="F293" s="919"/>
      <c r="G293" s="919"/>
      <c r="H293" s="919"/>
      <c r="I293" s="919"/>
      <c r="J293" s="919"/>
      <c r="K293" s="919"/>
      <c r="L293" s="919"/>
      <c r="M293" s="919"/>
      <c r="N293" s="919"/>
      <c r="O293" s="919"/>
      <c r="P293" s="919"/>
      <c r="Q293" s="890"/>
    </row>
    <row r="294" spans="2:17">
      <c r="B294" s="919"/>
      <c r="C294" s="919"/>
      <c r="D294" s="919"/>
      <c r="E294" s="919"/>
      <c r="F294" s="919"/>
      <c r="G294" s="919"/>
      <c r="H294" s="919"/>
      <c r="I294" s="919"/>
      <c r="J294" s="919"/>
      <c r="K294" s="919"/>
      <c r="L294" s="919"/>
      <c r="M294" s="919"/>
      <c r="N294" s="919"/>
      <c r="O294" s="919"/>
      <c r="P294" s="919"/>
      <c r="Q294" s="890"/>
    </row>
    <row r="295" spans="2:17">
      <c r="B295" s="919"/>
      <c r="C295" s="919"/>
      <c r="D295" s="919"/>
      <c r="E295" s="919"/>
      <c r="F295" s="919"/>
      <c r="G295" s="919"/>
      <c r="H295" s="919"/>
      <c r="I295" s="919"/>
      <c r="J295" s="919"/>
      <c r="K295" s="919"/>
      <c r="L295" s="919"/>
      <c r="M295" s="919"/>
      <c r="N295" s="919"/>
      <c r="O295" s="919"/>
      <c r="P295" s="919"/>
      <c r="Q295" s="890"/>
    </row>
    <row r="296" spans="2:17">
      <c r="B296" s="919"/>
      <c r="C296" s="919"/>
      <c r="D296" s="919"/>
      <c r="E296" s="919"/>
      <c r="F296" s="919"/>
      <c r="G296" s="919"/>
      <c r="H296" s="919"/>
      <c r="I296" s="919"/>
      <c r="J296" s="919"/>
      <c r="K296" s="919"/>
      <c r="L296" s="919"/>
      <c r="M296" s="919"/>
      <c r="N296" s="919"/>
      <c r="O296" s="919"/>
      <c r="P296" s="919"/>
      <c r="Q296" s="890"/>
    </row>
    <row r="297" spans="2:17">
      <c r="B297" s="919"/>
      <c r="C297" s="919"/>
      <c r="D297" s="919"/>
      <c r="E297" s="919"/>
      <c r="F297" s="919"/>
      <c r="G297" s="919"/>
      <c r="H297" s="919"/>
      <c r="I297" s="919"/>
      <c r="J297" s="919"/>
      <c r="K297" s="919"/>
      <c r="L297" s="919"/>
      <c r="M297" s="919"/>
      <c r="N297" s="919"/>
      <c r="O297" s="919"/>
      <c r="P297" s="919"/>
      <c r="Q297" s="890"/>
    </row>
    <row r="298" spans="2:17">
      <c r="B298" s="919"/>
      <c r="C298" s="919"/>
      <c r="D298" s="919"/>
      <c r="E298" s="919"/>
      <c r="F298" s="919"/>
      <c r="G298" s="919"/>
      <c r="H298" s="919"/>
      <c r="I298" s="919"/>
      <c r="J298" s="919"/>
      <c r="K298" s="919"/>
      <c r="L298" s="919"/>
      <c r="M298" s="919"/>
      <c r="N298" s="919"/>
      <c r="O298" s="919"/>
      <c r="P298" s="919"/>
      <c r="Q298" s="890"/>
    </row>
    <row r="299" spans="2:17">
      <c r="B299" s="919"/>
      <c r="C299" s="919"/>
      <c r="D299" s="919"/>
      <c r="E299" s="919"/>
      <c r="F299" s="919"/>
      <c r="G299" s="919"/>
      <c r="H299" s="919"/>
      <c r="I299" s="919"/>
      <c r="J299" s="919"/>
      <c r="K299" s="919"/>
      <c r="L299" s="919"/>
      <c r="M299" s="919"/>
      <c r="N299" s="919"/>
      <c r="O299" s="919"/>
      <c r="P299" s="919"/>
      <c r="Q299" s="890"/>
    </row>
    <row r="300" spans="2:17">
      <c r="B300" s="919"/>
      <c r="C300" s="919"/>
      <c r="D300" s="919"/>
      <c r="E300" s="919"/>
      <c r="F300" s="919"/>
      <c r="G300" s="919"/>
      <c r="H300" s="919"/>
      <c r="I300" s="919"/>
      <c r="J300" s="919"/>
      <c r="K300" s="919"/>
      <c r="L300" s="919"/>
      <c r="M300" s="919"/>
      <c r="N300" s="919"/>
      <c r="O300" s="919"/>
      <c r="P300" s="919"/>
      <c r="Q300" s="890"/>
    </row>
    <row r="301" spans="2:17">
      <c r="B301" s="919"/>
      <c r="C301" s="919"/>
      <c r="D301" s="919"/>
      <c r="E301" s="919"/>
      <c r="F301" s="919"/>
      <c r="G301" s="919"/>
      <c r="H301" s="919"/>
      <c r="I301" s="919"/>
      <c r="J301" s="919"/>
      <c r="K301" s="919"/>
      <c r="L301" s="919"/>
      <c r="M301" s="919"/>
      <c r="N301" s="919"/>
      <c r="O301" s="919"/>
      <c r="P301" s="919"/>
      <c r="Q301" s="890"/>
    </row>
    <row r="302" spans="2:17">
      <c r="B302" s="919"/>
      <c r="C302" s="919"/>
      <c r="D302" s="919"/>
      <c r="E302" s="919"/>
      <c r="F302" s="919"/>
      <c r="G302" s="919"/>
      <c r="H302" s="919"/>
      <c r="I302" s="919"/>
      <c r="J302" s="919"/>
      <c r="K302" s="919"/>
      <c r="L302" s="919"/>
      <c r="M302" s="919"/>
      <c r="N302" s="919"/>
      <c r="O302" s="919"/>
      <c r="P302" s="919"/>
      <c r="Q302" s="890"/>
    </row>
    <row r="303" spans="2:17">
      <c r="B303" s="919"/>
      <c r="C303" s="919"/>
      <c r="D303" s="919"/>
      <c r="E303" s="919"/>
      <c r="F303" s="919"/>
      <c r="G303" s="919"/>
      <c r="H303" s="919"/>
      <c r="I303" s="919"/>
      <c r="J303" s="919"/>
      <c r="K303" s="919"/>
      <c r="L303" s="919"/>
      <c r="M303" s="919"/>
      <c r="N303" s="919"/>
      <c r="O303" s="919"/>
      <c r="P303" s="919"/>
      <c r="Q303" s="890"/>
    </row>
    <row r="304" spans="2:17">
      <c r="B304" s="919"/>
      <c r="C304" s="919"/>
      <c r="D304" s="919"/>
      <c r="E304" s="919"/>
      <c r="F304" s="919"/>
      <c r="G304" s="919"/>
      <c r="H304" s="919"/>
      <c r="I304" s="919"/>
      <c r="J304" s="919"/>
      <c r="K304" s="919"/>
      <c r="L304" s="919"/>
      <c r="M304" s="919"/>
      <c r="N304" s="919"/>
      <c r="O304" s="919"/>
      <c r="P304" s="919"/>
      <c r="Q304" s="890"/>
    </row>
    <row r="305" spans="2:17">
      <c r="B305" s="919"/>
      <c r="C305" s="919"/>
      <c r="D305" s="919"/>
      <c r="E305" s="919"/>
      <c r="F305" s="919"/>
      <c r="G305" s="919"/>
      <c r="H305" s="919"/>
      <c r="I305" s="919"/>
      <c r="J305" s="919"/>
      <c r="K305" s="919"/>
      <c r="L305" s="919"/>
      <c r="M305" s="919"/>
      <c r="N305" s="919"/>
      <c r="O305" s="919"/>
      <c r="P305" s="919"/>
      <c r="Q305" s="890"/>
    </row>
    <row r="306" spans="2:17">
      <c r="B306" s="919"/>
      <c r="C306" s="919"/>
      <c r="D306" s="919"/>
      <c r="E306" s="919"/>
      <c r="F306" s="919"/>
      <c r="G306" s="919"/>
      <c r="H306" s="919"/>
      <c r="I306" s="919"/>
      <c r="J306" s="919"/>
      <c r="K306" s="919"/>
      <c r="L306" s="919"/>
      <c r="M306" s="919"/>
      <c r="N306" s="919"/>
      <c r="O306" s="919"/>
      <c r="P306" s="919"/>
      <c r="Q306" s="890"/>
    </row>
    <row r="307" spans="2:17">
      <c r="B307" s="919"/>
      <c r="C307" s="919"/>
      <c r="D307" s="919"/>
      <c r="E307" s="919"/>
      <c r="F307" s="919"/>
      <c r="G307" s="919"/>
      <c r="H307" s="919"/>
      <c r="I307" s="919"/>
      <c r="J307" s="919"/>
      <c r="K307" s="919"/>
      <c r="L307" s="919"/>
      <c r="M307" s="919"/>
      <c r="N307" s="919"/>
      <c r="O307" s="919"/>
      <c r="P307" s="919"/>
      <c r="Q307" s="890"/>
    </row>
    <row r="308" spans="2:17">
      <c r="B308" s="919"/>
      <c r="C308" s="919"/>
      <c r="D308" s="919"/>
      <c r="E308" s="919"/>
      <c r="F308" s="919"/>
      <c r="G308" s="919"/>
      <c r="H308" s="919"/>
      <c r="I308" s="919"/>
      <c r="J308" s="919"/>
      <c r="K308" s="919"/>
      <c r="L308" s="919"/>
      <c r="M308" s="919"/>
      <c r="N308" s="919"/>
      <c r="O308" s="919"/>
      <c r="P308" s="919"/>
      <c r="Q308" s="890"/>
    </row>
    <row r="309" spans="2:17">
      <c r="B309" s="919"/>
      <c r="C309" s="919"/>
      <c r="D309" s="919"/>
      <c r="E309" s="919"/>
      <c r="F309" s="919"/>
      <c r="G309" s="919"/>
      <c r="H309" s="919"/>
      <c r="I309" s="919"/>
      <c r="J309" s="919"/>
      <c r="K309" s="919"/>
      <c r="L309" s="919"/>
      <c r="M309" s="919"/>
      <c r="N309" s="919"/>
      <c r="O309" s="919"/>
      <c r="P309" s="919"/>
      <c r="Q309" s="890"/>
    </row>
    <row r="310" spans="2:17">
      <c r="B310" s="919"/>
      <c r="C310" s="919"/>
      <c r="D310" s="919"/>
      <c r="E310" s="919"/>
      <c r="F310" s="919"/>
      <c r="G310" s="919"/>
      <c r="H310" s="919"/>
      <c r="I310" s="919"/>
      <c r="J310" s="919"/>
      <c r="K310" s="919"/>
      <c r="L310" s="919"/>
      <c r="M310" s="919"/>
      <c r="N310" s="919"/>
      <c r="O310" s="919"/>
      <c r="P310" s="919"/>
      <c r="Q310" s="890"/>
    </row>
    <row r="311" spans="2:17">
      <c r="B311" s="919"/>
      <c r="C311" s="919"/>
      <c r="D311" s="919"/>
      <c r="E311" s="919"/>
      <c r="F311" s="919"/>
      <c r="G311" s="919"/>
      <c r="H311" s="919"/>
      <c r="I311" s="919"/>
      <c r="J311" s="919"/>
      <c r="K311" s="919"/>
      <c r="L311" s="919"/>
      <c r="M311" s="919"/>
      <c r="N311" s="919"/>
      <c r="O311" s="919"/>
      <c r="P311" s="919"/>
      <c r="Q311" s="890"/>
    </row>
    <row r="312" spans="2:17">
      <c r="B312" s="919"/>
      <c r="C312" s="919"/>
      <c r="D312" s="919"/>
      <c r="E312" s="919"/>
      <c r="F312" s="919"/>
      <c r="G312" s="919"/>
      <c r="H312" s="919"/>
      <c r="I312" s="919"/>
      <c r="J312" s="919"/>
      <c r="K312" s="919"/>
      <c r="L312" s="919"/>
      <c r="M312" s="919"/>
      <c r="N312" s="919"/>
      <c r="O312" s="919"/>
      <c r="P312" s="919"/>
      <c r="Q312" s="890"/>
    </row>
    <row r="313" spans="2:17">
      <c r="B313" s="919"/>
      <c r="C313" s="919"/>
      <c r="D313" s="919"/>
      <c r="E313" s="919"/>
      <c r="F313" s="919"/>
      <c r="G313" s="919"/>
      <c r="H313" s="919"/>
      <c r="I313" s="919"/>
      <c r="J313" s="919"/>
      <c r="K313" s="919"/>
      <c r="L313" s="919"/>
      <c r="M313" s="919"/>
      <c r="N313" s="919"/>
      <c r="O313" s="919"/>
      <c r="P313" s="919"/>
      <c r="Q313" s="890"/>
    </row>
    <row r="314" spans="2:17">
      <c r="B314" s="919"/>
      <c r="C314" s="919"/>
      <c r="D314" s="919"/>
      <c r="E314" s="919"/>
      <c r="F314" s="919"/>
      <c r="G314" s="919"/>
      <c r="H314" s="919"/>
      <c r="I314" s="919"/>
      <c r="J314" s="919"/>
      <c r="K314" s="919"/>
      <c r="L314" s="919"/>
      <c r="M314" s="919"/>
      <c r="N314" s="919"/>
      <c r="O314" s="919"/>
      <c r="P314" s="919"/>
      <c r="Q314" s="890"/>
    </row>
    <row r="315" spans="2:17">
      <c r="B315" s="919"/>
      <c r="C315" s="919"/>
      <c r="D315" s="919"/>
      <c r="E315" s="919"/>
      <c r="F315" s="919"/>
      <c r="G315" s="919"/>
      <c r="H315" s="919"/>
      <c r="I315" s="919"/>
      <c r="J315" s="919"/>
      <c r="K315" s="919"/>
      <c r="L315" s="919"/>
      <c r="M315" s="919"/>
      <c r="N315" s="919"/>
      <c r="O315" s="919"/>
      <c r="P315" s="919"/>
      <c r="Q315" s="890"/>
    </row>
    <row r="316" spans="2:17">
      <c r="B316" s="919"/>
      <c r="C316" s="919"/>
      <c r="D316" s="919"/>
      <c r="E316" s="919"/>
      <c r="F316" s="919"/>
      <c r="G316" s="919"/>
      <c r="H316" s="919"/>
      <c r="I316" s="919"/>
      <c r="J316" s="919"/>
      <c r="K316" s="919"/>
      <c r="L316" s="919"/>
      <c r="M316" s="919"/>
      <c r="N316" s="919"/>
      <c r="O316" s="919"/>
      <c r="P316" s="919"/>
      <c r="Q316" s="890"/>
    </row>
    <row r="317" spans="2:17">
      <c r="B317" s="919"/>
      <c r="C317" s="919"/>
      <c r="D317" s="919"/>
      <c r="E317" s="919"/>
      <c r="F317" s="919"/>
      <c r="G317" s="919"/>
      <c r="H317" s="919"/>
      <c r="I317" s="919"/>
      <c r="J317" s="919"/>
      <c r="K317" s="919"/>
      <c r="L317" s="919"/>
      <c r="M317" s="919"/>
      <c r="N317" s="919"/>
      <c r="O317" s="919"/>
      <c r="P317" s="919"/>
      <c r="Q317" s="890"/>
    </row>
    <row r="318" spans="2:17">
      <c r="B318" s="919"/>
      <c r="C318" s="919"/>
      <c r="D318" s="919"/>
      <c r="E318" s="919"/>
      <c r="F318" s="919"/>
      <c r="G318" s="919"/>
      <c r="H318" s="919"/>
      <c r="I318" s="919"/>
      <c r="J318" s="919"/>
      <c r="K318" s="919"/>
      <c r="L318" s="919"/>
      <c r="M318" s="919"/>
      <c r="N318" s="919"/>
      <c r="O318" s="919"/>
      <c r="P318" s="919"/>
      <c r="Q318" s="890"/>
    </row>
    <row r="319" spans="2:17">
      <c r="B319" s="919"/>
      <c r="C319" s="919"/>
      <c r="D319" s="919"/>
      <c r="E319" s="919"/>
      <c r="F319" s="919"/>
      <c r="G319" s="919"/>
      <c r="H319" s="919"/>
      <c r="I319" s="919"/>
      <c r="J319" s="919"/>
      <c r="K319" s="919"/>
      <c r="L319" s="919"/>
      <c r="M319" s="919"/>
      <c r="N319" s="919"/>
      <c r="O319" s="919"/>
      <c r="P319" s="919"/>
      <c r="Q319" s="890"/>
    </row>
    <row r="320" spans="2:17">
      <c r="B320" s="919"/>
      <c r="C320" s="919"/>
      <c r="D320" s="919"/>
      <c r="E320" s="919"/>
      <c r="F320" s="919"/>
      <c r="G320" s="919"/>
      <c r="H320" s="919"/>
      <c r="I320" s="919"/>
      <c r="J320" s="919"/>
      <c r="K320" s="919"/>
      <c r="L320" s="919"/>
      <c r="M320" s="919"/>
      <c r="N320" s="919"/>
      <c r="O320" s="919"/>
      <c r="P320" s="919"/>
      <c r="Q320" s="890"/>
    </row>
    <row r="321" spans="2:17">
      <c r="B321" s="919"/>
      <c r="C321" s="919"/>
      <c r="D321" s="919"/>
      <c r="E321" s="919"/>
      <c r="F321" s="919"/>
      <c r="G321" s="919"/>
      <c r="H321" s="919"/>
      <c r="I321" s="919"/>
      <c r="J321" s="919"/>
      <c r="K321" s="919"/>
      <c r="L321" s="919"/>
      <c r="M321" s="919"/>
      <c r="N321" s="919"/>
      <c r="O321" s="919"/>
      <c r="P321" s="919"/>
      <c r="Q321" s="890"/>
    </row>
    <row r="322" spans="2:17">
      <c r="B322" s="919"/>
      <c r="C322" s="919"/>
      <c r="D322" s="919"/>
      <c r="E322" s="919"/>
      <c r="F322" s="919"/>
      <c r="G322" s="919"/>
      <c r="H322" s="919"/>
      <c r="I322" s="919"/>
      <c r="J322" s="919"/>
      <c r="K322" s="919"/>
      <c r="L322" s="919"/>
      <c r="M322" s="919"/>
      <c r="N322" s="919"/>
      <c r="O322" s="919"/>
      <c r="P322" s="919"/>
      <c r="Q322" s="890"/>
    </row>
    <row r="323" spans="2:17">
      <c r="B323" s="919"/>
      <c r="C323" s="919"/>
      <c r="D323" s="919"/>
      <c r="E323" s="919"/>
      <c r="F323" s="919"/>
      <c r="G323" s="919"/>
      <c r="H323" s="919"/>
      <c r="I323" s="919"/>
      <c r="J323" s="919"/>
      <c r="K323" s="919"/>
      <c r="L323" s="919"/>
      <c r="M323" s="919"/>
      <c r="N323" s="919"/>
      <c r="O323" s="919"/>
      <c r="P323" s="919"/>
      <c r="Q323" s="890"/>
    </row>
    <row r="324" spans="2:17">
      <c r="B324" s="919"/>
      <c r="C324" s="919"/>
      <c r="D324" s="919"/>
      <c r="E324" s="919"/>
      <c r="F324" s="919"/>
      <c r="G324" s="919"/>
      <c r="H324" s="919"/>
      <c r="I324" s="919"/>
      <c r="J324" s="919"/>
      <c r="K324" s="919"/>
      <c r="L324" s="919"/>
      <c r="M324" s="919"/>
      <c r="N324" s="919"/>
      <c r="O324" s="919"/>
      <c r="P324" s="919"/>
      <c r="Q324" s="890"/>
    </row>
    <row r="325" spans="2:17">
      <c r="B325" s="919"/>
      <c r="C325" s="919"/>
      <c r="D325" s="919"/>
      <c r="E325" s="919"/>
      <c r="F325" s="919"/>
      <c r="G325" s="919"/>
      <c r="H325" s="919"/>
      <c r="I325" s="919"/>
      <c r="J325" s="919"/>
      <c r="K325" s="919"/>
      <c r="L325" s="919"/>
      <c r="M325" s="919"/>
      <c r="N325" s="919"/>
      <c r="O325" s="919"/>
      <c r="P325" s="919"/>
      <c r="Q325" s="890"/>
    </row>
    <row r="326" spans="2:17">
      <c r="B326" s="919"/>
      <c r="C326" s="919"/>
      <c r="D326" s="919"/>
      <c r="E326" s="919"/>
      <c r="F326" s="919"/>
      <c r="G326" s="919"/>
      <c r="H326" s="919"/>
      <c r="I326" s="919"/>
      <c r="J326" s="919"/>
      <c r="K326" s="919"/>
      <c r="L326" s="919"/>
      <c r="M326" s="919"/>
      <c r="N326" s="919"/>
      <c r="O326" s="919"/>
      <c r="P326" s="919"/>
      <c r="Q326" s="890"/>
    </row>
    <row r="327" spans="2:17">
      <c r="B327" s="919"/>
      <c r="C327" s="919"/>
      <c r="D327" s="919"/>
      <c r="E327" s="919"/>
      <c r="F327" s="919"/>
      <c r="G327" s="919"/>
      <c r="H327" s="919"/>
      <c r="I327" s="919"/>
      <c r="J327" s="919"/>
      <c r="K327" s="919"/>
      <c r="L327" s="919"/>
      <c r="M327" s="919"/>
      <c r="N327" s="919"/>
      <c r="O327" s="919"/>
      <c r="P327" s="919"/>
      <c r="Q327" s="890"/>
    </row>
    <row r="328" spans="2:17">
      <c r="B328" s="919"/>
      <c r="C328" s="919"/>
      <c r="D328" s="919"/>
      <c r="E328" s="919"/>
      <c r="F328" s="919"/>
      <c r="G328" s="919"/>
      <c r="H328" s="919"/>
      <c r="I328" s="919"/>
      <c r="J328" s="919"/>
      <c r="K328" s="919"/>
      <c r="L328" s="919"/>
      <c r="M328" s="919"/>
      <c r="N328" s="919"/>
      <c r="O328" s="919"/>
      <c r="P328" s="919"/>
      <c r="Q328" s="890"/>
    </row>
    <row r="329" spans="2:17">
      <c r="B329" s="919"/>
      <c r="C329" s="919"/>
      <c r="D329" s="919"/>
      <c r="E329" s="919"/>
      <c r="F329" s="919"/>
      <c r="G329" s="919"/>
      <c r="H329" s="919"/>
      <c r="I329" s="919"/>
      <c r="J329" s="919"/>
      <c r="K329" s="919"/>
      <c r="L329" s="919"/>
      <c r="M329" s="919"/>
      <c r="N329" s="919"/>
      <c r="O329" s="919"/>
      <c r="P329" s="919"/>
      <c r="Q329" s="890"/>
    </row>
    <row r="330" spans="2:17">
      <c r="B330" s="919"/>
      <c r="C330" s="919"/>
      <c r="D330" s="919"/>
      <c r="E330" s="919"/>
      <c r="F330" s="919"/>
      <c r="G330" s="919"/>
      <c r="H330" s="919"/>
      <c r="I330" s="919"/>
      <c r="J330" s="919"/>
      <c r="K330" s="919"/>
      <c r="L330" s="919"/>
      <c r="M330" s="919"/>
      <c r="N330" s="919"/>
      <c r="O330" s="919"/>
      <c r="P330" s="919"/>
      <c r="Q330" s="890"/>
    </row>
    <row r="331" spans="2:17">
      <c r="B331" s="919"/>
      <c r="C331" s="919"/>
      <c r="D331" s="919"/>
      <c r="E331" s="919"/>
      <c r="F331" s="919"/>
      <c r="G331" s="919"/>
      <c r="H331" s="919"/>
      <c r="I331" s="919"/>
      <c r="J331" s="919"/>
      <c r="K331" s="919"/>
      <c r="L331" s="919"/>
      <c r="M331" s="919"/>
      <c r="N331" s="919"/>
      <c r="O331" s="919"/>
      <c r="P331" s="919"/>
      <c r="Q331" s="890"/>
    </row>
    <row r="332" spans="2:17">
      <c r="B332" s="919"/>
      <c r="C332" s="919"/>
      <c r="D332" s="919"/>
      <c r="E332" s="919"/>
      <c r="F332" s="919"/>
      <c r="G332" s="919"/>
      <c r="H332" s="919"/>
      <c r="I332" s="919"/>
      <c r="J332" s="919"/>
      <c r="K332" s="919"/>
      <c r="L332" s="919"/>
      <c r="M332" s="919"/>
      <c r="N332" s="919"/>
      <c r="O332" s="919"/>
      <c r="P332" s="919"/>
      <c r="Q332" s="890"/>
    </row>
    <row r="333" spans="2:17">
      <c r="B333" s="919"/>
      <c r="C333" s="919"/>
      <c r="D333" s="919"/>
      <c r="E333" s="919"/>
      <c r="F333" s="919"/>
      <c r="G333" s="919"/>
      <c r="H333" s="919"/>
      <c r="I333" s="919"/>
      <c r="J333" s="919"/>
      <c r="K333" s="919"/>
      <c r="L333" s="919"/>
      <c r="M333" s="919"/>
      <c r="N333" s="919"/>
      <c r="O333" s="919"/>
      <c r="P333" s="919"/>
      <c r="Q333" s="890"/>
    </row>
    <row r="334" spans="2:17">
      <c r="B334" s="919"/>
      <c r="C334" s="919"/>
      <c r="D334" s="919"/>
      <c r="E334" s="919"/>
      <c r="F334" s="919"/>
      <c r="G334" s="919"/>
      <c r="H334" s="919"/>
      <c r="I334" s="919"/>
      <c r="J334" s="919"/>
      <c r="K334" s="919"/>
      <c r="L334" s="919"/>
      <c r="M334" s="919"/>
      <c r="N334" s="919"/>
      <c r="O334" s="919"/>
      <c r="P334" s="919"/>
      <c r="Q334" s="890"/>
    </row>
    <row r="335" spans="2:17">
      <c r="B335" s="919"/>
      <c r="C335" s="919"/>
      <c r="D335" s="919"/>
      <c r="E335" s="919"/>
      <c r="F335" s="919"/>
      <c r="G335" s="919"/>
      <c r="H335" s="919"/>
      <c r="I335" s="919"/>
      <c r="J335" s="919"/>
      <c r="K335" s="919"/>
      <c r="L335" s="919"/>
      <c r="M335" s="919"/>
      <c r="N335" s="919"/>
      <c r="O335" s="919"/>
      <c r="P335" s="919"/>
      <c r="Q335" s="890"/>
    </row>
    <row r="336" spans="2:17">
      <c r="B336" s="919"/>
      <c r="C336" s="919"/>
      <c r="D336" s="919"/>
      <c r="E336" s="919"/>
      <c r="F336" s="919"/>
      <c r="G336" s="919"/>
      <c r="H336" s="919"/>
      <c r="I336" s="919"/>
      <c r="J336" s="919"/>
      <c r="K336" s="919"/>
      <c r="L336" s="919"/>
      <c r="M336" s="919"/>
      <c r="N336" s="919"/>
      <c r="O336" s="919"/>
      <c r="P336" s="919"/>
      <c r="Q336" s="890"/>
    </row>
    <row r="337" spans="2:17">
      <c r="B337" s="919"/>
      <c r="C337" s="919"/>
      <c r="D337" s="919"/>
      <c r="E337" s="919"/>
      <c r="F337" s="919"/>
      <c r="G337" s="919"/>
      <c r="H337" s="919"/>
      <c r="I337" s="919"/>
      <c r="J337" s="919"/>
      <c r="K337" s="919"/>
      <c r="L337" s="919"/>
      <c r="M337" s="919"/>
      <c r="N337" s="919"/>
      <c r="O337" s="919"/>
      <c r="P337" s="919"/>
      <c r="Q337" s="890"/>
    </row>
    <row r="338" spans="2:17">
      <c r="B338" s="919"/>
      <c r="C338" s="919"/>
      <c r="D338" s="919"/>
      <c r="E338" s="919"/>
      <c r="F338" s="919"/>
      <c r="G338" s="919"/>
      <c r="H338" s="919"/>
      <c r="I338" s="919"/>
      <c r="J338" s="919"/>
      <c r="K338" s="919"/>
      <c r="L338" s="919"/>
      <c r="M338" s="919"/>
      <c r="N338" s="919"/>
      <c r="O338" s="919"/>
      <c r="P338" s="919"/>
      <c r="Q338" s="890"/>
    </row>
    <row r="339" spans="2:17">
      <c r="B339" s="919"/>
      <c r="C339" s="919"/>
      <c r="D339" s="919"/>
      <c r="E339" s="919"/>
      <c r="F339" s="919"/>
      <c r="G339" s="919"/>
      <c r="H339" s="919"/>
      <c r="I339" s="919"/>
      <c r="J339" s="919"/>
      <c r="K339" s="919"/>
      <c r="L339" s="919"/>
      <c r="M339" s="919"/>
      <c r="N339" s="919"/>
      <c r="O339" s="919"/>
      <c r="P339" s="919"/>
      <c r="Q339" s="890"/>
    </row>
    <row r="340" spans="2:17">
      <c r="B340" s="919"/>
      <c r="C340" s="919"/>
      <c r="D340" s="919"/>
      <c r="E340" s="919"/>
      <c r="F340" s="919"/>
      <c r="G340" s="919"/>
      <c r="H340" s="919"/>
      <c r="I340" s="919"/>
      <c r="J340" s="919"/>
      <c r="K340" s="919"/>
      <c r="L340" s="919"/>
      <c r="M340" s="919"/>
      <c r="N340" s="919"/>
      <c r="O340" s="919"/>
      <c r="P340" s="919"/>
      <c r="Q340" s="890"/>
    </row>
    <row r="341" spans="2:17">
      <c r="B341" s="919"/>
      <c r="C341" s="919"/>
      <c r="D341" s="919"/>
      <c r="E341" s="919"/>
      <c r="F341" s="919"/>
      <c r="G341" s="919"/>
      <c r="H341" s="919"/>
      <c r="I341" s="919"/>
      <c r="J341" s="919"/>
      <c r="K341" s="919"/>
      <c r="L341" s="919"/>
      <c r="M341" s="919"/>
      <c r="N341" s="919"/>
      <c r="O341" s="919"/>
      <c r="P341" s="919"/>
      <c r="Q341" s="890"/>
    </row>
    <row r="342" spans="2:17">
      <c r="Q342" s="883"/>
    </row>
    <row r="343" spans="2:17">
      <c r="Q343" s="883"/>
    </row>
    <row r="344" spans="2:17">
      <c r="Q344" s="883"/>
    </row>
    <row r="345" spans="2:17">
      <c r="Q345" s="883"/>
    </row>
    <row r="346" spans="2:17">
      <c r="Q346" s="883"/>
    </row>
    <row r="347" spans="2:17">
      <c r="Q347" s="883"/>
    </row>
    <row r="348" spans="2:17">
      <c r="Q348" s="883"/>
    </row>
    <row r="349" spans="2:17">
      <c r="Q349" s="883"/>
    </row>
    <row r="350" spans="2:17">
      <c r="Q350" s="883"/>
    </row>
    <row r="351" spans="2:17">
      <c r="Q351" s="883"/>
    </row>
    <row r="352" spans="2:17">
      <c r="Q352" s="883"/>
    </row>
    <row r="353" spans="17:17">
      <c r="Q353" s="883"/>
    </row>
    <row r="354" spans="17:17">
      <c r="Q354" s="883"/>
    </row>
    <row r="355" spans="17:17">
      <c r="Q355" s="883"/>
    </row>
    <row r="356" spans="17:17">
      <c r="Q356" s="883"/>
    </row>
    <row r="357" spans="17:17">
      <c r="Q357" s="883"/>
    </row>
    <row r="358" spans="17:17">
      <c r="Q358" s="883"/>
    </row>
    <row r="359" spans="17:17">
      <c r="Q359" s="883"/>
    </row>
    <row r="360" spans="17:17">
      <c r="Q360" s="883"/>
    </row>
    <row r="361" spans="17:17">
      <c r="Q361" s="883"/>
    </row>
    <row r="362" spans="17:17">
      <c r="Q362" s="883"/>
    </row>
    <row r="363" spans="17:17">
      <c r="Q363" s="883"/>
    </row>
    <row r="364" spans="17:17">
      <c r="Q364" s="883"/>
    </row>
    <row r="365" spans="17:17">
      <c r="Q365" s="883"/>
    </row>
    <row r="366" spans="17:17">
      <c r="Q366" s="883"/>
    </row>
    <row r="367" spans="17:17">
      <c r="Q367" s="883"/>
    </row>
    <row r="368" spans="17:17">
      <c r="Q368" s="883"/>
    </row>
    <row r="369" spans="17:17">
      <c r="Q369" s="883"/>
    </row>
    <row r="370" spans="17:17">
      <c r="Q370" s="883"/>
    </row>
    <row r="371" spans="17:17">
      <c r="Q371" s="883"/>
    </row>
    <row r="372" spans="17:17">
      <c r="Q372" s="883"/>
    </row>
    <row r="373" spans="17:17">
      <c r="Q373" s="883"/>
    </row>
    <row r="374" spans="17:17">
      <c r="Q374" s="883"/>
    </row>
    <row r="375" spans="17:17">
      <c r="Q375" s="883"/>
    </row>
    <row r="376" spans="17:17">
      <c r="Q376" s="883"/>
    </row>
    <row r="377" spans="17:17">
      <c r="Q377" s="883"/>
    </row>
    <row r="378" spans="17:17">
      <c r="Q378" s="883"/>
    </row>
    <row r="379" spans="17:17">
      <c r="Q379" s="883"/>
    </row>
    <row r="380" spans="17:17">
      <c r="Q380" s="883"/>
    </row>
    <row r="381" spans="17:17">
      <c r="Q381" s="883"/>
    </row>
    <row r="382" spans="17:17">
      <c r="Q382" s="883"/>
    </row>
    <row r="383" spans="17:17">
      <c r="Q383" s="883"/>
    </row>
    <row r="384" spans="17:17">
      <c r="Q384" s="883"/>
    </row>
    <row r="385" spans="17:17">
      <c r="Q385" s="883"/>
    </row>
    <row r="386" spans="17:17">
      <c r="Q386" s="883"/>
    </row>
    <row r="387" spans="17:17">
      <c r="Q387" s="883"/>
    </row>
    <row r="388" spans="17:17">
      <c r="Q388" s="883"/>
    </row>
    <row r="389" spans="17:17">
      <c r="Q389" s="883"/>
    </row>
    <row r="390" spans="17:17">
      <c r="Q390" s="883"/>
    </row>
    <row r="391" spans="17:17">
      <c r="Q391" s="883"/>
    </row>
    <row r="392" spans="17:17">
      <c r="Q392" s="883"/>
    </row>
    <row r="393" spans="17:17">
      <c r="Q393" s="883"/>
    </row>
    <row r="394" spans="17:17">
      <c r="Q394" s="883"/>
    </row>
    <row r="395" spans="17:17">
      <c r="Q395" s="883"/>
    </row>
    <row r="396" spans="17:17">
      <c r="Q396" s="883"/>
    </row>
    <row r="397" spans="17:17">
      <c r="Q397" s="883"/>
    </row>
    <row r="398" spans="17:17">
      <c r="Q398" s="883"/>
    </row>
    <row r="399" spans="17:17">
      <c r="Q399" s="883"/>
    </row>
    <row r="400" spans="17:17">
      <c r="Q400" s="883"/>
    </row>
    <row r="401" spans="17:17">
      <c r="Q401" s="883"/>
    </row>
    <row r="402" spans="17:17">
      <c r="Q402" s="883"/>
    </row>
    <row r="403" spans="17:17">
      <c r="Q403" s="883"/>
    </row>
    <row r="404" spans="17:17">
      <c r="Q404" s="883"/>
    </row>
    <row r="405" spans="17:17">
      <c r="Q405" s="883"/>
    </row>
    <row r="406" spans="17:17">
      <c r="Q406" s="883"/>
    </row>
    <row r="407" spans="17:17">
      <c r="Q407" s="883"/>
    </row>
    <row r="408" spans="17:17">
      <c r="Q408" s="883"/>
    </row>
    <row r="409" spans="17:17">
      <c r="Q409" s="883"/>
    </row>
    <row r="410" spans="17:17">
      <c r="Q410" s="883"/>
    </row>
    <row r="411" spans="17:17">
      <c r="Q411" s="883"/>
    </row>
    <row r="412" spans="17:17">
      <c r="Q412" s="883"/>
    </row>
    <row r="413" spans="17:17">
      <c r="Q413" s="883"/>
    </row>
    <row r="414" spans="17:17">
      <c r="Q414" s="883"/>
    </row>
    <row r="415" spans="17:17">
      <c r="Q415" s="883"/>
    </row>
    <row r="416" spans="17:17">
      <c r="Q416" s="883"/>
    </row>
    <row r="417" spans="17:17">
      <c r="Q417" s="883"/>
    </row>
    <row r="418" spans="17:17">
      <c r="Q418" s="883"/>
    </row>
    <row r="419" spans="17:17">
      <c r="Q419" s="883"/>
    </row>
    <row r="420" spans="17:17">
      <c r="Q420" s="883"/>
    </row>
    <row r="421" spans="17:17">
      <c r="Q421" s="883"/>
    </row>
  </sheetData>
  <mergeCells count="12">
    <mergeCell ref="B2:P2"/>
    <mergeCell ref="B3:P3"/>
    <mergeCell ref="B25:P25"/>
    <mergeCell ref="B75:N75"/>
    <mergeCell ref="B4:N4"/>
    <mergeCell ref="B7:P7"/>
    <mergeCell ref="B5:P5"/>
    <mergeCell ref="B76:N76"/>
    <mergeCell ref="B77:N77"/>
    <mergeCell ref="B168:N168"/>
    <mergeCell ref="B169:N169"/>
    <mergeCell ref="B170:N170"/>
  </mergeCells>
  <pageMargins left="0.25" right="0.25" top="0.75" bottom="0.75" header="0.3" footer="0.3"/>
  <pageSetup scale="43" fitToHeight="3" orientation="portrait" r:id="rId1"/>
  <rowBreaks count="2" manualBreakCount="2">
    <brk id="72" max="16383" man="1"/>
    <brk id="1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P240"/>
  <sheetViews>
    <sheetView view="pageBreakPreview" zoomScale="85" zoomScaleSheetLayoutView="85" workbookViewId="0">
      <selection activeCell="D2" sqref="D2"/>
    </sheetView>
  </sheetViews>
  <sheetFormatPr defaultRowHeight="15"/>
  <cols>
    <col min="1" max="1" width="6.5546875" style="880" customWidth="1"/>
    <col min="2" max="2" width="2.77734375" style="880" customWidth="1"/>
    <col min="3" max="3" width="7.5546875" customWidth="1"/>
    <col min="4" max="4" width="50.88671875" customWidth="1"/>
    <col min="5" max="5" width="8.88671875" bestFit="1" customWidth="1"/>
    <col min="6" max="6" width="25" customWidth="1"/>
    <col min="9" max="9" width="23" style="162" customWidth="1"/>
    <col min="10" max="10" width="25.6640625" style="162" customWidth="1"/>
    <col min="11" max="11" width="13.77734375" style="162" customWidth="1"/>
  </cols>
  <sheetData>
    <row r="1" spans="1:16" ht="15.75">
      <c r="C1" s="856"/>
      <c r="D1" s="856"/>
      <c r="E1" s="856"/>
      <c r="F1" s="856"/>
      <c r="I1" s="571"/>
      <c r="J1" s="19"/>
      <c r="K1" s="572"/>
    </row>
    <row r="2" spans="1:16" ht="15.75">
      <c r="C2" s="856"/>
      <c r="D2" s="856"/>
      <c r="E2" s="856"/>
      <c r="F2" s="856"/>
      <c r="I2" s="571"/>
      <c r="J2" s="575"/>
      <c r="K2" s="573"/>
    </row>
    <row r="3" spans="1:16">
      <c r="C3" s="856"/>
      <c r="D3" s="856"/>
      <c r="E3" s="856"/>
      <c r="F3" s="856"/>
      <c r="I3" s="574"/>
      <c r="J3" s="575"/>
      <c r="K3" s="573"/>
    </row>
    <row r="4" spans="1:16" ht="15.75">
      <c r="C4" s="1756" t="s">
        <v>526</v>
      </c>
      <c r="D4" s="1756"/>
      <c r="E4" s="1756"/>
      <c r="F4" s="1756"/>
      <c r="I4" s="574"/>
      <c r="J4" s="575"/>
      <c r="K4" s="573"/>
    </row>
    <row r="5" spans="1:16" ht="15.75">
      <c r="C5" s="1756" t="s">
        <v>489</v>
      </c>
      <c r="D5" s="1756"/>
      <c r="E5" s="1756"/>
      <c r="F5" s="1756"/>
      <c r="I5" s="574"/>
      <c r="J5" s="575"/>
      <c r="K5" s="573"/>
    </row>
    <row r="6" spans="1:16" ht="15.75">
      <c r="C6" s="856"/>
      <c r="D6" s="857"/>
      <c r="E6" s="857"/>
      <c r="F6" s="857"/>
      <c r="G6" s="448"/>
      <c r="H6" s="448"/>
      <c r="I6" s="574"/>
      <c r="J6" s="576"/>
      <c r="K6" s="573"/>
      <c r="L6" s="448"/>
      <c r="M6" s="448"/>
      <c r="N6" s="448"/>
      <c r="O6" s="448"/>
      <c r="P6" s="448"/>
    </row>
    <row r="7" spans="1:16">
      <c r="A7" s="880" t="s">
        <v>14</v>
      </c>
      <c r="C7" s="857" t="s">
        <v>527</v>
      </c>
      <c r="D7" s="857" t="s">
        <v>528</v>
      </c>
      <c r="F7" s="857" t="s">
        <v>529</v>
      </c>
      <c r="I7" s="574"/>
      <c r="J7" s="576"/>
      <c r="K7" s="573"/>
    </row>
    <row r="8" spans="1:16" ht="15.75">
      <c r="C8" s="1482" t="s">
        <v>1026</v>
      </c>
      <c r="D8" s="857"/>
      <c r="E8" s="857"/>
      <c r="F8" s="857"/>
      <c r="I8" s="574"/>
      <c r="J8" s="575"/>
      <c r="K8" s="573"/>
    </row>
    <row r="9" spans="1:16">
      <c r="A9" s="880">
        <v>1</v>
      </c>
      <c r="C9" s="877">
        <v>350</v>
      </c>
      <c r="D9" s="857" t="s">
        <v>530</v>
      </c>
      <c r="F9" s="873">
        <v>2.56</v>
      </c>
      <c r="I9" s="574"/>
      <c r="J9" s="575"/>
      <c r="K9" s="573"/>
    </row>
    <row r="10" spans="1:16">
      <c r="A10" s="880">
        <f>+A9+1</f>
        <v>2</v>
      </c>
      <c r="C10" s="877" t="s">
        <v>960</v>
      </c>
      <c r="D10" s="857" t="s">
        <v>531</v>
      </c>
      <c r="F10" s="873">
        <v>1.78</v>
      </c>
      <c r="I10" s="574"/>
      <c r="J10" s="575"/>
      <c r="K10" s="573"/>
    </row>
    <row r="11" spans="1:16">
      <c r="A11" s="880">
        <f t="shared" ref="A11:A38" si="0">+A10+1</f>
        <v>3</v>
      </c>
      <c r="C11" s="877" t="s">
        <v>961</v>
      </c>
      <c r="D11" s="857" t="s">
        <v>532</v>
      </c>
      <c r="F11" s="873">
        <v>1.86</v>
      </c>
      <c r="I11" s="574"/>
      <c r="J11" s="575"/>
      <c r="K11" s="573"/>
    </row>
    <row r="12" spans="1:16">
      <c r="A12" s="880">
        <f t="shared" si="0"/>
        <v>4</v>
      </c>
      <c r="C12" s="877" t="s">
        <v>959</v>
      </c>
      <c r="D12" s="857" t="s">
        <v>533</v>
      </c>
      <c r="F12" s="873">
        <v>2.76</v>
      </c>
      <c r="I12" s="574"/>
      <c r="J12" s="575"/>
      <c r="K12" s="573"/>
    </row>
    <row r="13" spans="1:16">
      <c r="A13" s="880">
        <f>+A12+1</f>
        <v>5</v>
      </c>
      <c r="C13" s="877" t="s">
        <v>962</v>
      </c>
      <c r="D13" s="857" t="str">
        <f>+D12</f>
        <v xml:space="preserve"> Station Equipment </v>
      </c>
      <c r="F13" s="873">
        <v>1.65</v>
      </c>
      <c r="I13" s="574"/>
      <c r="J13" s="575"/>
      <c r="K13" s="573"/>
    </row>
    <row r="14" spans="1:16">
      <c r="A14" s="880">
        <f>+A13+1</f>
        <v>6</v>
      </c>
      <c r="C14" s="877" t="s">
        <v>534</v>
      </c>
      <c r="D14" s="857" t="s">
        <v>535</v>
      </c>
      <c r="F14" s="873">
        <v>2.04</v>
      </c>
      <c r="I14" s="574"/>
      <c r="J14" s="575"/>
      <c r="K14" s="573"/>
    </row>
    <row r="15" spans="1:16">
      <c r="A15" s="880">
        <f t="shared" si="0"/>
        <v>7</v>
      </c>
      <c r="C15" s="877" t="s">
        <v>536</v>
      </c>
      <c r="D15" s="857" t="s">
        <v>537</v>
      </c>
      <c r="F15" s="873">
        <v>3.09</v>
      </c>
      <c r="I15" s="574"/>
      <c r="J15" s="575"/>
      <c r="K15" s="573"/>
    </row>
    <row r="16" spans="1:16">
      <c r="A16" s="880">
        <f t="shared" si="0"/>
        <v>8</v>
      </c>
      <c r="C16" s="877" t="s">
        <v>538</v>
      </c>
      <c r="D16" s="857" t="s">
        <v>539</v>
      </c>
      <c r="F16" s="873">
        <v>2.57</v>
      </c>
      <c r="I16" s="574"/>
      <c r="J16" s="575"/>
      <c r="K16" s="573"/>
    </row>
    <row r="17" spans="1:11">
      <c r="A17" s="880">
        <f t="shared" si="0"/>
        <v>9</v>
      </c>
      <c r="C17" s="877" t="s">
        <v>540</v>
      </c>
      <c r="D17" s="857" t="s">
        <v>541</v>
      </c>
      <c r="F17" s="873">
        <v>1.68</v>
      </c>
      <c r="I17" s="574"/>
      <c r="J17" s="575"/>
      <c r="K17" s="573"/>
    </row>
    <row r="18" spans="1:11">
      <c r="A18" s="880">
        <f t="shared" si="0"/>
        <v>10</v>
      </c>
      <c r="C18" s="877" t="s">
        <v>542</v>
      </c>
      <c r="D18" s="857" t="s">
        <v>543</v>
      </c>
      <c r="F18" s="873">
        <v>1.99</v>
      </c>
      <c r="I18" s="574"/>
      <c r="J18" s="575"/>
      <c r="K18" s="573"/>
    </row>
    <row r="19" spans="1:11">
      <c r="A19" s="880">
        <f t="shared" si="0"/>
        <v>11</v>
      </c>
      <c r="C19" s="877" t="s">
        <v>544</v>
      </c>
      <c r="D19" s="857" t="s">
        <v>545</v>
      </c>
      <c r="F19" s="873">
        <v>1.93</v>
      </c>
      <c r="I19" s="574"/>
      <c r="J19" s="575"/>
      <c r="K19" s="573"/>
    </row>
    <row r="20" spans="1:11" ht="15.75">
      <c r="A20" s="880">
        <f t="shared" si="0"/>
        <v>12</v>
      </c>
      <c r="C20" s="877" t="s">
        <v>546</v>
      </c>
      <c r="D20" s="857"/>
      <c r="E20" s="857"/>
      <c r="F20" s="873"/>
      <c r="I20" s="574"/>
      <c r="J20" s="575"/>
      <c r="K20" s="573"/>
    </row>
    <row r="21" spans="1:11">
      <c r="A21" s="880">
        <f t="shared" si="0"/>
        <v>13</v>
      </c>
      <c r="C21" s="877" t="s">
        <v>547</v>
      </c>
      <c r="D21" s="857" t="s">
        <v>548</v>
      </c>
      <c r="F21" s="873" t="s">
        <v>549</v>
      </c>
      <c r="I21" s="574"/>
      <c r="J21" s="575"/>
      <c r="K21" s="573"/>
    </row>
    <row r="22" spans="1:11">
      <c r="A22" s="880">
        <f t="shared" si="0"/>
        <v>14</v>
      </c>
      <c r="C22" s="877" t="s">
        <v>550</v>
      </c>
      <c r="D22" s="857" t="s">
        <v>551</v>
      </c>
      <c r="F22" s="873" t="s">
        <v>552</v>
      </c>
      <c r="I22" s="574"/>
      <c r="J22" s="575"/>
      <c r="K22" s="573"/>
    </row>
    <row r="23" spans="1:11">
      <c r="A23" s="880">
        <f t="shared" si="0"/>
        <v>15</v>
      </c>
      <c r="C23" s="877" t="s">
        <v>553</v>
      </c>
      <c r="D23" s="857" t="s">
        <v>554</v>
      </c>
      <c r="F23" s="873" t="s">
        <v>555</v>
      </c>
      <c r="I23" s="574"/>
      <c r="J23" s="575"/>
      <c r="K23" s="573"/>
    </row>
    <row r="24" spans="1:11">
      <c r="A24" s="880">
        <f t="shared" si="0"/>
        <v>16</v>
      </c>
      <c r="C24" s="877" t="s">
        <v>556</v>
      </c>
      <c r="D24" s="857" t="s">
        <v>557</v>
      </c>
      <c r="F24" s="873" t="s">
        <v>558</v>
      </c>
      <c r="I24" s="574"/>
      <c r="J24" s="575"/>
      <c r="K24" s="573"/>
    </row>
    <row r="25" spans="1:11">
      <c r="A25" s="880">
        <f t="shared" si="0"/>
        <v>17</v>
      </c>
      <c r="C25" s="877" t="s">
        <v>559</v>
      </c>
      <c r="D25" s="857" t="s">
        <v>560</v>
      </c>
      <c r="F25" s="873" t="s">
        <v>561</v>
      </c>
      <c r="I25" s="574"/>
      <c r="J25" s="575"/>
      <c r="K25" s="573"/>
    </row>
    <row r="26" spans="1:11">
      <c r="A26" s="880">
        <f t="shared" si="0"/>
        <v>18</v>
      </c>
      <c r="C26" s="877" t="s">
        <v>562</v>
      </c>
      <c r="D26" s="857" t="s">
        <v>563</v>
      </c>
      <c r="F26" s="873" t="s">
        <v>564</v>
      </c>
      <c r="I26" s="574"/>
      <c r="J26" s="575"/>
      <c r="K26" s="573"/>
    </row>
    <row r="27" spans="1:11">
      <c r="A27" s="880">
        <f t="shared" si="0"/>
        <v>19</v>
      </c>
      <c r="C27" s="877" t="s">
        <v>565</v>
      </c>
      <c r="D27" s="857" t="s">
        <v>566</v>
      </c>
      <c r="F27" s="873" t="s">
        <v>567</v>
      </c>
      <c r="I27" s="574"/>
      <c r="J27" s="575"/>
      <c r="K27" s="573"/>
    </row>
    <row r="28" spans="1:11">
      <c r="A28" s="880">
        <f t="shared" si="0"/>
        <v>20</v>
      </c>
      <c r="C28" s="877" t="s">
        <v>568</v>
      </c>
      <c r="D28" s="857" t="s">
        <v>569</v>
      </c>
      <c r="F28" s="1150">
        <v>6.74</v>
      </c>
      <c r="I28" s="574"/>
      <c r="J28" s="575"/>
      <c r="K28" s="573"/>
    </row>
    <row r="29" spans="1:11">
      <c r="A29" s="880">
        <f t="shared" ref="A29:A34" si="1">+A28+1</f>
        <v>21</v>
      </c>
      <c r="C29" s="877" t="s">
        <v>570</v>
      </c>
      <c r="D29" s="857" t="s">
        <v>571</v>
      </c>
      <c r="F29" s="873"/>
      <c r="I29" s="574"/>
      <c r="J29" s="575"/>
      <c r="K29" s="573"/>
    </row>
    <row r="30" spans="1:11">
      <c r="A30" s="880">
        <f t="shared" si="1"/>
        <v>22</v>
      </c>
      <c r="C30" s="877"/>
      <c r="D30" s="857" t="s">
        <v>579</v>
      </c>
      <c r="F30" s="1150">
        <v>20</v>
      </c>
      <c r="I30" s="574"/>
      <c r="J30" s="575"/>
      <c r="K30" s="573"/>
    </row>
    <row r="31" spans="1:11">
      <c r="A31" s="880">
        <f t="shared" si="1"/>
        <v>23</v>
      </c>
      <c r="C31" s="877"/>
      <c r="D31" s="857" t="s">
        <v>580</v>
      </c>
      <c r="F31" s="1150">
        <v>10</v>
      </c>
      <c r="I31" s="574"/>
      <c r="J31" s="575"/>
      <c r="K31" s="573"/>
    </row>
    <row r="32" spans="1:11">
      <c r="A32" s="880">
        <f t="shared" si="1"/>
        <v>24</v>
      </c>
      <c r="C32" s="877"/>
      <c r="D32" s="857" t="s">
        <v>748</v>
      </c>
      <c r="F32" s="1150">
        <v>5</v>
      </c>
      <c r="I32" s="574"/>
      <c r="J32" s="575"/>
      <c r="K32" s="573"/>
    </row>
    <row r="33" spans="1:11" ht="15.75">
      <c r="A33" s="880">
        <f t="shared" si="1"/>
        <v>25</v>
      </c>
      <c r="C33" s="877" t="s">
        <v>572</v>
      </c>
      <c r="D33" s="857"/>
      <c r="E33" s="857"/>
      <c r="F33" s="873"/>
      <c r="I33" s="574"/>
      <c r="J33" s="575"/>
      <c r="K33" s="573"/>
    </row>
    <row r="34" spans="1:11">
      <c r="A34" s="880">
        <f t="shared" si="1"/>
        <v>26</v>
      </c>
      <c r="C34" s="877" t="s">
        <v>573</v>
      </c>
      <c r="D34" s="857" t="s">
        <v>574</v>
      </c>
      <c r="F34" s="873"/>
      <c r="I34" s="574"/>
      <c r="J34" s="575"/>
      <c r="K34" s="573"/>
    </row>
    <row r="35" spans="1:11">
      <c r="A35" s="1149">
        <f t="shared" si="0"/>
        <v>27</v>
      </c>
      <c r="C35" s="877"/>
      <c r="D35" s="857" t="s">
        <v>579</v>
      </c>
      <c r="F35" s="1150">
        <v>20</v>
      </c>
      <c r="I35" s="574"/>
      <c r="J35" s="575"/>
      <c r="K35" s="573"/>
    </row>
    <row r="36" spans="1:11">
      <c r="A36" s="1149">
        <f t="shared" si="0"/>
        <v>28</v>
      </c>
      <c r="C36" s="877"/>
      <c r="D36" s="857" t="s">
        <v>578</v>
      </c>
      <c r="F36" s="1150">
        <v>14.285714285714286</v>
      </c>
      <c r="I36" s="574"/>
      <c r="J36" s="575"/>
      <c r="K36" s="573"/>
    </row>
    <row r="37" spans="1:11">
      <c r="A37" s="1149">
        <f t="shared" si="0"/>
        <v>29</v>
      </c>
      <c r="C37" s="877"/>
      <c r="D37" s="857" t="s">
        <v>580</v>
      </c>
      <c r="F37" s="1150">
        <v>10</v>
      </c>
      <c r="I37" s="574"/>
      <c r="J37" s="575"/>
      <c r="K37" s="573"/>
    </row>
    <row r="38" spans="1:11">
      <c r="A38" s="1149">
        <f t="shared" si="0"/>
        <v>30</v>
      </c>
      <c r="D38" s="878" t="s">
        <v>581</v>
      </c>
      <c r="E38" s="857"/>
      <c r="F38" s="876" t="s">
        <v>575</v>
      </c>
      <c r="I38" s="574"/>
      <c r="J38" s="575"/>
      <c r="K38" s="573"/>
    </row>
    <row r="39" spans="1:11">
      <c r="A39" s="1149"/>
      <c r="C39" s="857"/>
      <c r="D39" s="857"/>
      <c r="E39" s="857"/>
      <c r="F39" s="857"/>
      <c r="I39" s="574"/>
      <c r="J39" s="575"/>
      <c r="K39" s="573"/>
    </row>
    <row r="40" spans="1:11">
      <c r="A40" s="1149"/>
      <c r="D40" s="857"/>
      <c r="E40" s="857"/>
      <c r="F40" s="857"/>
      <c r="I40" s="574"/>
      <c r="J40" s="575"/>
      <c r="K40" s="573"/>
    </row>
    <row r="41" spans="1:11" ht="16.5" customHeight="1">
      <c r="A41" s="1149"/>
      <c r="C41" s="1757" t="s">
        <v>1054</v>
      </c>
      <c r="D41" s="1757"/>
      <c r="E41" s="1757"/>
      <c r="F41" s="1757"/>
      <c r="I41" s="574"/>
      <c r="J41" s="575"/>
      <c r="K41" s="573"/>
    </row>
    <row r="42" spans="1:11" ht="15.75" customHeight="1">
      <c r="A42" s="1149"/>
      <c r="C42" s="1757"/>
      <c r="D42" s="1757"/>
      <c r="E42" s="1757"/>
      <c r="F42" s="1757"/>
      <c r="I42" s="574"/>
      <c r="K42" s="573"/>
    </row>
    <row r="43" spans="1:11" ht="15.75" customHeight="1">
      <c r="A43" s="1149"/>
      <c r="C43" s="1757"/>
      <c r="D43" s="1757"/>
      <c r="E43" s="1757"/>
      <c r="F43" s="1757"/>
      <c r="I43" s="574"/>
      <c r="J43" s="575"/>
      <c r="K43" s="573"/>
    </row>
    <row r="44" spans="1:11" ht="69" customHeight="1">
      <c r="A44" s="1149"/>
      <c r="C44" s="1757"/>
      <c r="D44" s="1757"/>
      <c r="E44" s="1757"/>
      <c r="F44" s="1757"/>
      <c r="I44" s="574"/>
      <c r="J44" s="575"/>
      <c r="K44" s="573"/>
    </row>
    <row r="45" spans="1:11" ht="15.75">
      <c r="A45" s="1149"/>
      <c r="C45" s="1484"/>
      <c r="D45" s="1485"/>
      <c r="E45" s="857"/>
      <c r="I45" s="574"/>
      <c r="J45" s="575"/>
      <c r="K45" s="573"/>
    </row>
    <row r="46" spans="1:11">
      <c r="A46" s="1149"/>
      <c r="C46" s="1486"/>
      <c r="D46" s="1485"/>
      <c r="E46" s="857"/>
      <c r="I46" s="574"/>
      <c r="J46" s="575"/>
      <c r="K46" s="573"/>
    </row>
    <row r="47" spans="1:11">
      <c r="A47" s="1149"/>
      <c r="C47" s="857" t="s">
        <v>576</v>
      </c>
      <c r="D47" s="857"/>
      <c r="E47" s="857"/>
      <c r="I47" s="574"/>
      <c r="J47" s="575"/>
      <c r="K47" s="573"/>
    </row>
    <row r="48" spans="1:11">
      <c r="A48" s="1149"/>
      <c r="C48" s="856"/>
      <c r="D48" s="856"/>
      <c r="E48" s="856"/>
      <c r="I48" s="574"/>
      <c r="J48" s="575"/>
      <c r="K48" s="573"/>
    </row>
    <row r="49" spans="1:11" s="852" customFormat="1" ht="15.75">
      <c r="A49" s="881"/>
      <c r="B49" s="881"/>
      <c r="I49" s="853"/>
      <c r="J49" s="853"/>
      <c r="K49" s="853"/>
    </row>
    <row r="50" spans="1:11" s="852" customFormat="1" ht="15.75">
      <c r="A50" s="881"/>
      <c r="B50" s="881"/>
      <c r="I50" s="853"/>
      <c r="J50" s="853"/>
      <c r="K50" s="853"/>
    </row>
    <row r="51" spans="1:11" s="852" customFormat="1" ht="15.75">
      <c r="A51" s="881"/>
      <c r="B51" s="881"/>
      <c r="I51" s="853"/>
      <c r="J51" s="853"/>
      <c r="K51" s="853"/>
    </row>
    <row r="52" spans="1:11" s="852" customFormat="1" ht="15.75">
      <c r="A52" s="881"/>
      <c r="B52" s="881"/>
      <c r="I52" s="853"/>
      <c r="J52" s="853"/>
      <c r="K52" s="853"/>
    </row>
    <row r="53" spans="1:11" s="852" customFormat="1" ht="15.75">
      <c r="A53" s="881"/>
      <c r="B53" s="881"/>
      <c r="I53" s="853"/>
      <c r="J53" s="853"/>
      <c r="K53" s="853"/>
    </row>
    <row r="54" spans="1:11" s="852" customFormat="1" ht="15.75">
      <c r="A54" s="881"/>
      <c r="B54" s="881"/>
      <c r="I54" s="853"/>
      <c r="J54" s="853"/>
      <c r="K54" s="853"/>
    </row>
    <row r="55" spans="1:11" s="852" customFormat="1" ht="15.75">
      <c r="A55" s="881"/>
      <c r="B55" s="881"/>
      <c r="I55" s="853"/>
      <c r="J55" s="853"/>
      <c r="K55" s="853"/>
    </row>
    <row r="56" spans="1:11" s="852" customFormat="1" ht="15.75">
      <c r="A56" s="881"/>
      <c r="B56" s="881"/>
      <c r="I56" s="853"/>
      <c r="J56" s="853"/>
      <c r="K56" s="853"/>
    </row>
    <row r="57" spans="1:11" s="852" customFormat="1" ht="15.75">
      <c r="A57" s="881"/>
      <c r="B57" s="881"/>
      <c r="I57" s="853"/>
      <c r="J57" s="853"/>
      <c r="K57" s="853"/>
    </row>
    <row r="58" spans="1:11" s="852" customFormat="1" ht="15.75">
      <c r="A58" s="881"/>
      <c r="B58" s="881"/>
      <c r="I58" s="853"/>
      <c r="J58" s="853"/>
      <c r="K58" s="853"/>
    </row>
    <row r="59" spans="1:11" s="852" customFormat="1" ht="15.75">
      <c r="A59" s="881"/>
      <c r="B59" s="881"/>
      <c r="I59" s="853"/>
      <c r="J59" s="853"/>
      <c r="K59" s="853"/>
    </row>
    <row r="60" spans="1:11" s="852" customFormat="1" ht="15.75">
      <c r="A60" s="881"/>
      <c r="B60" s="881"/>
      <c r="I60" s="853"/>
      <c r="J60" s="853"/>
      <c r="K60" s="853"/>
    </row>
    <row r="61" spans="1:11" s="852" customFormat="1" ht="15.75">
      <c r="A61" s="881"/>
      <c r="B61" s="881"/>
      <c r="I61" s="853"/>
      <c r="J61" s="853"/>
      <c r="K61" s="853"/>
    </row>
    <row r="62" spans="1:11" s="852" customFormat="1" ht="15.75">
      <c r="A62" s="881"/>
      <c r="B62" s="881"/>
      <c r="I62" s="853"/>
      <c r="J62" s="853"/>
      <c r="K62" s="853"/>
    </row>
    <row r="63" spans="1:11" s="852" customFormat="1" ht="15.75">
      <c r="A63" s="881"/>
      <c r="B63" s="881"/>
      <c r="I63" s="853"/>
      <c r="J63" s="853"/>
      <c r="K63" s="853"/>
    </row>
    <row r="64" spans="1:11" s="852" customFormat="1" ht="15.75">
      <c r="A64" s="881"/>
      <c r="B64" s="881"/>
      <c r="I64" s="853"/>
      <c r="J64" s="853"/>
      <c r="K64" s="853"/>
    </row>
    <row r="65" spans="1:11" s="852" customFormat="1" ht="15.75">
      <c r="A65" s="881"/>
      <c r="B65" s="881"/>
      <c r="I65" s="853"/>
      <c r="J65" s="853"/>
      <c r="K65" s="853"/>
    </row>
    <row r="66" spans="1:11" s="852" customFormat="1" ht="15.75">
      <c r="A66" s="881"/>
      <c r="B66" s="881"/>
      <c r="I66" s="853"/>
      <c r="J66" s="853"/>
      <c r="K66" s="853"/>
    </row>
    <row r="67" spans="1:11" s="852" customFormat="1" ht="15.75">
      <c r="A67" s="881"/>
      <c r="B67" s="881"/>
      <c r="I67" s="853"/>
      <c r="J67" s="853"/>
      <c r="K67" s="853"/>
    </row>
    <row r="68" spans="1:11" s="852" customFormat="1" ht="15.75">
      <c r="A68" s="881"/>
      <c r="B68" s="881"/>
      <c r="I68" s="853"/>
      <c r="J68" s="853"/>
      <c r="K68" s="853"/>
    </row>
    <row r="69" spans="1:11" s="852" customFormat="1" ht="15.75">
      <c r="A69" s="881"/>
      <c r="B69" s="881"/>
      <c r="I69" s="853"/>
      <c r="J69" s="853"/>
      <c r="K69" s="853"/>
    </row>
    <row r="70" spans="1:11" s="852" customFormat="1" ht="15.75">
      <c r="A70" s="881"/>
      <c r="B70" s="881"/>
      <c r="I70" s="853"/>
      <c r="J70" s="853"/>
      <c r="K70" s="853"/>
    </row>
    <row r="71" spans="1:11" s="852" customFormat="1" ht="15.75">
      <c r="A71" s="881"/>
      <c r="B71" s="881"/>
      <c r="I71" s="853"/>
      <c r="J71" s="853"/>
      <c r="K71" s="853"/>
    </row>
    <row r="72" spans="1:11" s="852" customFormat="1" ht="15.75">
      <c r="A72" s="881"/>
      <c r="B72" s="881"/>
      <c r="I72" s="853"/>
      <c r="J72" s="853"/>
      <c r="K72" s="853"/>
    </row>
    <row r="73" spans="1:11" s="852" customFormat="1" ht="15.75">
      <c r="A73" s="881"/>
      <c r="B73" s="881"/>
      <c r="I73" s="853"/>
      <c r="J73" s="853"/>
      <c r="K73" s="853"/>
    </row>
    <row r="74" spans="1:11" s="852" customFormat="1" ht="15.75">
      <c r="A74" s="881"/>
      <c r="B74" s="881"/>
      <c r="I74" s="853"/>
      <c r="J74" s="853"/>
      <c r="K74" s="853"/>
    </row>
    <row r="75" spans="1:11" s="852" customFormat="1" ht="15.75">
      <c r="A75" s="881"/>
      <c r="B75" s="881"/>
      <c r="I75" s="853"/>
      <c r="J75" s="853"/>
      <c r="K75" s="853"/>
    </row>
    <row r="76" spans="1:11" s="852" customFormat="1" ht="15.75">
      <c r="A76" s="881"/>
      <c r="B76" s="881"/>
      <c r="I76" s="853"/>
      <c r="J76" s="853"/>
      <c r="K76" s="853"/>
    </row>
    <row r="77" spans="1:11" s="852" customFormat="1" ht="15.75">
      <c r="A77" s="881"/>
      <c r="B77" s="881"/>
      <c r="I77" s="853"/>
      <c r="J77" s="853"/>
      <c r="K77" s="853"/>
    </row>
    <row r="78" spans="1:11" s="852" customFormat="1" ht="15.75">
      <c r="A78" s="881"/>
      <c r="B78" s="881"/>
      <c r="I78" s="853"/>
      <c r="J78" s="853"/>
      <c r="K78" s="853"/>
    </row>
    <row r="79" spans="1:11" ht="16.5">
      <c r="K79" s="577"/>
    </row>
    <row r="80" spans="1:11" ht="16.5">
      <c r="K80" s="577"/>
    </row>
    <row r="81" spans="11:11" ht="16.5">
      <c r="K81" s="577"/>
    </row>
    <row r="82" spans="11:11" ht="16.5">
      <c r="K82" s="577"/>
    </row>
    <row r="83" spans="11:11" ht="16.5">
      <c r="K83" s="577"/>
    </row>
    <row r="84" spans="11:11" ht="16.5">
      <c r="K84" s="577"/>
    </row>
    <row r="85" spans="11:11" ht="16.5">
      <c r="K85" s="577"/>
    </row>
    <row r="240" spans="9:9">
      <c r="I240" s="864"/>
    </row>
  </sheetData>
  <mergeCells count="3">
    <mergeCell ref="C4:F4"/>
    <mergeCell ref="C5:F5"/>
    <mergeCell ref="C41:F44"/>
  </mergeCells>
  <phoneticPr fontId="60" type="noConversion"/>
  <pageMargins left="0.7" right="0.7" top="0.75" bottom="0.75" header="0.3" footer="0.3"/>
  <pageSetup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2:Q67"/>
  <sheetViews>
    <sheetView zoomScale="80" zoomScaleNormal="80" workbookViewId="0">
      <selection activeCell="F21" sqref="F21"/>
    </sheetView>
  </sheetViews>
  <sheetFormatPr defaultRowHeight="15"/>
  <cols>
    <col min="2" max="2" width="68.6640625" customWidth="1"/>
    <col min="3" max="3" width="22.6640625" customWidth="1"/>
    <col min="4" max="4" width="12.88671875" customWidth="1"/>
    <col min="5" max="5" width="12" style="1071" bestFit="1" customWidth="1"/>
    <col min="6" max="6" width="14.109375" bestFit="1" customWidth="1"/>
    <col min="7" max="7" width="19.88671875" customWidth="1"/>
    <col min="8" max="8" width="1.5546875" customWidth="1"/>
    <col min="9" max="9" width="8.5546875" style="1259" bestFit="1" customWidth="1"/>
    <col min="10" max="10" width="19.21875" style="1259" customWidth="1"/>
    <col min="11" max="11" width="14.77734375" style="1259" customWidth="1"/>
    <col min="12" max="13" width="8.88671875" style="1259"/>
  </cols>
  <sheetData>
    <row r="2" spans="1:17" ht="15.75">
      <c r="A2" s="1758" t="s">
        <v>1073</v>
      </c>
      <c r="B2" s="1759"/>
      <c r="C2" s="1759"/>
      <c r="D2" s="1759"/>
      <c r="E2" s="1759"/>
    </row>
    <row r="3" spans="1:17" ht="15.75">
      <c r="A3" s="1756" t="s">
        <v>489</v>
      </c>
      <c r="B3" s="1756"/>
      <c r="C3" s="1756"/>
      <c r="D3" s="1756"/>
      <c r="E3" s="1756"/>
    </row>
    <row r="5" spans="1:17">
      <c r="A5" s="1495" t="s">
        <v>1072</v>
      </c>
      <c r="B5" s="1495"/>
      <c r="E5"/>
    </row>
    <row r="6" spans="1:17">
      <c r="A6" s="1315"/>
      <c r="B6" s="1315"/>
      <c r="C6" s="1315"/>
      <c r="D6" s="1315"/>
      <c r="E6" s="1315"/>
    </row>
    <row r="7" spans="1:17">
      <c r="B7" t="s">
        <v>833</v>
      </c>
      <c r="C7" s="1073"/>
    </row>
    <row r="8" spans="1:17">
      <c r="C8" s="1073"/>
    </row>
    <row r="9" spans="1:17">
      <c r="A9" s="678">
        <v>1</v>
      </c>
      <c r="B9" s="856" t="s">
        <v>757</v>
      </c>
      <c r="C9" s="1254" t="s">
        <v>920</v>
      </c>
      <c r="D9" s="856"/>
      <c r="E9" s="1228">
        <f>+E30-E29</f>
        <v>0</v>
      </c>
      <c r="F9" s="1229"/>
      <c r="G9" s="1229"/>
      <c r="H9" s="1229"/>
      <c r="I9" s="1260"/>
      <c r="J9" s="1261"/>
      <c r="K9" s="1261"/>
      <c r="L9" s="1260"/>
      <c r="M9" s="1262"/>
      <c r="N9" s="1229"/>
      <c r="O9" s="1229"/>
      <c r="P9" s="1229"/>
      <c r="Q9" s="1229"/>
    </row>
    <row r="10" spans="1:17">
      <c r="A10" s="1072">
        <f>+A9+1</f>
        <v>2</v>
      </c>
      <c r="B10" t="s">
        <v>763</v>
      </c>
      <c r="C10" s="1073" t="s">
        <v>904</v>
      </c>
      <c r="E10" s="411">
        <f>+E65</f>
        <v>0</v>
      </c>
      <c r="F10" s="1257"/>
      <c r="G10" s="1257"/>
      <c r="H10" s="1229"/>
      <c r="I10" s="1263"/>
      <c r="J10" s="1264"/>
      <c r="K10" s="1264"/>
      <c r="L10" s="1262"/>
      <c r="M10" s="1262"/>
      <c r="N10" s="1229"/>
      <c r="O10" s="1229"/>
      <c r="P10" s="1229"/>
      <c r="Q10" s="1229"/>
    </row>
    <row r="11" spans="1:17">
      <c r="A11" s="678">
        <f>+A10+1</f>
        <v>3</v>
      </c>
      <c r="B11" t="s">
        <v>764</v>
      </c>
      <c r="C11" s="1073" t="s">
        <v>951</v>
      </c>
      <c r="E11" s="1258">
        <f>+E64</f>
        <v>0</v>
      </c>
      <c r="F11" s="1257"/>
      <c r="G11" s="1229"/>
      <c r="H11" s="1229"/>
      <c r="I11" s="1263"/>
      <c r="J11" s="1264"/>
      <c r="K11" s="1264"/>
      <c r="L11" s="1262"/>
      <c r="M11" s="1262"/>
      <c r="N11" s="1229"/>
      <c r="O11" s="1229"/>
      <c r="P11" s="1229"/>
      <c r="Q11" s="1229"/>
    </row>
    <row r="12" spans="1:17">
      <c r="A12" s="1072">
        <f>+A11+1</f>
        <v>4</v>
      </c>
      <c r="B12" t="s">
        <v>678</v>
      </c>
      <c r="C12" s="1073" t="s">
        <v>903</v>
      </c>
      <c r="E12" s="678">
        <f>IF(E11=0,0,(E9*(E10/(E10+E11))))</f>
        <v>0</v>
      </c>
      <c r="F12" s="1230"/>
      <c r="G12" s="1229"/>
      <c r="H12" s="1229"/>
      <c r="I12" s="1263"/>
      <c r="J12" s="1264"/>
      <c r="K12" s="1264"/>
      <c r="L12" s="1262"/>
      <c r="M12" s="1262"/>
      <c r="N12" s="1229"/>
      <c r="O12" s="1229"/>
      <c r="P12" s="1229"/>
      <c r="Q12" s="1229"/>
    </row>
    <row r="13" spans="1:17">
      <c r="A13" s="1072">
        <f>+A12+1</f>
        <v>5</v>
      </c>
      <c r="B13" t="s">
        <v>754</v>
      </c>
      <c r="C13" s="1073" t="s">
        <v>902</v>
      </c>
      <c r="E13" s="1228">
        <f>+C35</f>
        <v>0</v>
      </c>
      <c r="F13" s="1229"/>
      <c r="G13" s="1229"/>
      <c r="H13" s="1229"/>
      <c r="I13" s="1263"/>
      <c r="J13" s="1264"/>
      <c r="K13" s="1264"/>
      <c r="L13" s="1262"/>
      <c r="M13" s="1262"/>
      <c r="N13" s="1229"/>
      <c r="O13" s="1229"/>
      <c r="P13" s="1229"/>
      <c r="Q13" s="1229"/>
    </row>
    <row r="14" spans="1:17">
      <c r="B14" s="856" t="s">
        <v>909</v>
      </c>
      <c r="C14" s="1073"/>
      <c r="E14" s="678"/>
      <c r="F14" s="1229"/>
      <c r="G14" s="1229"/>
      <c r="H14" s="1229"/>
      <c r="I14" s="1263"/>
      <c r="J14" s="1265"/>
      <c r="K14" s="1264"/>
      <c r="L14" s="1262"/>
      <c r="M14" s="1262"/>
      <c r="N14" s="1229"/>
      <c r="O14" s="1229"/>
      <c r="P14" s="1229"/>
      <c r="Q14" s="1229"/>
    </row>
    <row r="15" spans="1:17">
      <c r="C15" s="1073"/>
      <c r="E15" s="678"/>
      <c r="F15" s="1229"/>
      <c r="G15" s="1229"/>
      <c r="H15" s="1229"/>
      <c r="I15" s="1263"/>
      <c r="J15" s="1265"/>
      <c r="K15" s="1264"/>
      <c r="L15" s="1266"/>
      <c r="M15" s="1262"/>
      <c r="N15" s="1229"/>
      <c r="O15" s="1229"/>
      <c r="P15" s="1229"/>
      <c r="Q15" s="1229"/>
    </row>
    <row r="16" spans="1:17">
      <c r="B16" t="s">
        <v>679</v>
      </c>
      <c r="C16" s="1073"/>
      <c r="E16" s="678"/>
      <c r="F16" s="1229"/>
      <c r="G16" s="1229"/>
      <c r="H16" s="1229"/>
      <c r="I16" s="1263"/>
      <c r="J16" s="1265"/>
      <c r="K16" s="1264"/>
      <c r="L16" s="1266"/>
      <c r="M16" s="1262"/>
      <c r="N16" s="1229"/>
      <c r="O16" s="1229"/>
      <c r="P16" s="1229"/>
      <c r="Q16" s="1229"/>
    </row>
    <row r="17" spans="1:17">
      <c r="A17" s="856"/>
      <c r="B17" s="856"/>
      <c r="C17" s="1254"/>
      <c r="D17" s="856"/>
      <c r="E17" s="678"/>
      <c r="F17" s="856"/>
      <c r="G17" s="1229"/>
      <c r="H17" s="1229"/>
      <c r="I17" s="1263"/>
      <c r="J17" s="1265"/>
      <c r="K17" s="1264"/>
      <c r="L17" s="1262"/>
      <c r="M17" s="1262"/>
      <c r="N17" s="1229"/>
      <c r="O17" s="1229"/>
      <c r="P17" s="1229"/>
      <c r="Q17" s="1229"/>
    </row>
    <row r="18" spans="1:17">
      <c r="A18" s="678">
        <f>+A13+1</f>
        <v>6</v>
      </c>
      <c r="B18" s="856" t="s">
        <v>901</v>
      </c>
      <c r="C18" s="1254" t="s">
        <v>900</v>
      </c>
      <c r="D18" s="856"/>
      <c r="E18" s="1228">
        <f>+E62</f>
        <v>0</v>
      </c>
      <c r="F18" s="856"/>
      <c r="I18" s="1263"/>
      <c r="J18" s="1265"/>
      <c r="K18" s="1264"/>
      <c r="L18" s="1262"/>
    </row>
    <row r="19" spans="1:17">
      <c r="A19" s="678">
        <f>+A18+1</f>
        <v>7</v>
      </c>
      <c r="B19" s="856" t="str">
        <f>+B10</f>
        <v>CEC Gross Plant Investment in CVT Project thru lease pmt to MCCT</v>
      </c>
      <c r="C19" s="1254" t="s">
        <v>899</v>
      </c>
      <c r="D19" s="856"/>
      <c r="E19" s="1228">
        <f>+E10</f>
        <v>0</v>
      </c>
      <c r="F19" s="856"/>
      <c r="I19" s="1263"/>
      <c r="J19" s="1265"/>
      <c r="K19" s="1264"/>
      <c r="L19" s="1262"/>
    </row>
    <row r="20" spans="1:17">
      <c r="A20" s="678">
        <f>+A19+1</f>
        <v>8</v>
      </c>
      <c r="B20" s="856" t="str">
        <f>+B11</f>
        <v>MCCT Gross Plant Investment in CVT Project, excluding amount leased to CEC</v>
      </c>
      <c r="C20" s="1314" t="str">
        <f>+C11</f>
        <v>Note 1, line d but for relevant period</v>
      </c>
      <c r="D20" s="856"/>
      <c r="E20" s="1253">
        <v>0</v>
      </c>
      <c r="F20" s="1236"/>
      <c r="I20" s="1262"/>
      <c r="J20" s="1267"/>
      <c r="K20" s="1267"/>
      <c r="L20" s="1262"/>
    </row>
    <row r="21" spans="1:17">
      <c r="A21" s="678">
        <f>+A20+1</f>
        <v>9</v>
      </c>
      <c r="B21" s="856" t="s">
        <v>680</v>
      </c>
      <c r="C21" s="1254" t="s">
        <v>898</v>
      </c>
      <c r="D21" s="856"/>
      <c r="E21" s="678">
        <f>IF(E20=0,0,E18*E19/(E19+E20))</f>
        <v>0</v>
      </c>
      <c r="F21" s="1243"/>
      <c r="I21" s="1268"/>
      <c r="J21" s="1268"/>
      <c r="K21" s="1266"/>
      <c r="L21" s="1268"/>
    </row>
    <row r="22" spans="1:17">
      <c r="A22" s="678">
        <f>+A21+1</f>
        <v>10</v>
      </c>
      <c r="B22" s="856" t="s">
        <v>820</v>
      </c>
      <c r="C22" s="1254" t="s">
        <v>897</v>
      </c>
      <c r="D22" s="856"/>
      <c r="E22" s="1228">
        <f>+D36</f>
        <v>0</v>
      </c>
      <c r="F22" s="856"/>
      <c r="I22" s="1260"/>
      <c r="J22" s="1261"/>
      <c r="K22" s="1264"/>
      <c r="L22" s="1261"/>
    </row>
    <row r="23" spans="1:17">
      <c r="A23" s="678"/>
      <c r="B23" s="856" t="s">
        <v>910</v>
      </c>
      <c r="C23" s="856"/>
      <c r="D23" s="856"/>
      <c r="E23" s="678"/>
      <c r="F23" s="856"/>
      <c r="I23" s="1260"/>
      <c r="J23" s="1261"/>
      <c r="K23" s="1264"/>
      <c r="L23" s="1269"/>
    </row>
    <row r="24" spans="1:17">
      <c r="K24" s="1270"/>
      <c r="L24" s="1269"/>
    </row>
    <row r="25" spans="1:17">
      <c r="B25" t="s">
        <v>835</v>
      </c>
      <c r="D25" s="1237" t="s">
        <v>116</v>
      </c>
      <c r="E25" s="1240" t="s">
        <v>755</v>
      </c>
      <c r="F25" s="1241" t="s">
        <v>20</v>
      </c>
      <c r="G25" s="1073"/>
      <c r="H25" s="1073"/>
      <c r="K25" s="1270"/>
      <c r="L25" s="1261"/>
    </row>
    <row r="26" spans="1:17">
      <c r="F26" s="1073"/>
      <c r="G26" s="1073"/>
      <c r="H26" s="1073"/>
      <c r="J26" s="1261"/>
      <c r="K26" s="1264"/>
      <c r="L26" s="1261"/>
    </row>
    <row r="27" spans="1:17">
      <c r="A27" s="678">
        <f>+A22+1</f>
        <v>11</v>
      </c>
      <c r="B27" s="856" t="s">
        <v>933</v>
      </c>
      <c r="C27" s="1236"/>
      <c r="D27" s="1070"/>
      <c r="E27" s="1253">
        <v>0</v>
      </c>
      <c r="F27" s="1228">
        <f>+D27+E27</f>
        <v>0</v>
      </c>
      <c r="G27" s="1073"/>
      <c r="H27" s="1073"/>
      <c r="J27" s="1261"/>
      <c r="K27" s="1264"/>
      <c r="L27" s="1269"/>
    </row>
    <row r="28" spans="1:17">
      <c r="A28" s="678">
        <f>+A27+1</f>
        <v>12</v>
      </c>
      <c r="B28" t="s">
        <v>681</v>
      </c>
      <c r="C28" t="s">
        <v>919</v>
      </c>
      <c r="D28" s="1253"/>
      <c r="E28" s="1253">
        <v>0</v>
      </c>
      <c r="F28" s="1228">
        <f>+D28+E28</f>
        <v>0</v>
      </c>
      <c r="G28" s="1073"/>
      <c r="H28" s="1073"/>
      <c r="K28" s="1270"/>
      <c r="L28" s="1269"/>
    </row>
    <row r="29" spans="1:17">
      <c r="A29" s="1072">
        <f>+A28+1</f>
        <v>13</v>
      </c>
      <c r="B29" t="s">
        <v>917</v>
      </c>
      <c r="C29" t="s">
        <v>950</v>
      </c>
      <c r="D29" s="1253"/>
      <c r="E29" s="1253">
        <v>0</v>
      </c>
      <c r="F29" s="1228">
        <f>+D29+E29</f>
        <v>0</v>
      </c>
      <c r="G29" s="1073"/>
      <c r="H29" s="1073"/>
      <c r="K29" s="1270"/>
      <c r="L29" s="1261"/>
    </row>
    <row r="30" spans="1:17">
      <c r="A30" s="678">
        <f>+A29+1</f>
        <v>14</v>
      </c>
      <c r="B30" t="s">
        <v>918</v>
      </c>
      <c r="D30" s="1255">
        <f>SUM(D27:D29)</f>
        <v>0</v>
      </c>
      <c r="E30" s="1255">
        <f>SUM(E27:E29)</f>
        <v>0</v>
      </c>
      <c r="F30" s="1255">
        <f>SUM(F27:F29)</f>
        <v>0</v>
      </c>
      <c r="G30" s="1073"/>
      <c r="H30" s="1073"/>
      <c r="K30" s="1270"/>
      <c r="L30" s="1261"/>
    </row>
    <row r="31" spans="1:17">
      <c r="D31" s="678"/>
      <c r="H31" s="1073"/>
      <c r="J31" s="1261"/>
      <c r="K31" s="1264"/>
      <c r="L31" s="1261"/>
    </row>
    <row r="32" spans="1:17">
      <c r="D32" s="1236"/>
      <c r="J32" s="1261"/>
      <c r="K32" s="1264"/>
      <c r="L32" s="1271"/>
    </row>
    <row r="33" spans="1:11">
      <c r="B33" s="1239" t="s">
        <v>821</v>
      </c>
      <c r="C33" s="1237" t="s">
        <v>42</v>
      </c>
      <c r="D33" s="1237" t="s">
        <v>768</v>
      </c>
      <c r="E33" s="1238" t="s">
        <v>762</v>
      </c>
      <c r="F33" s="1237" t="s">
        <v>116</v>
      </c>
      <c r="G33" s="1237" t="s">
        <v>769</v>
      </c>
    </row>
    <row r="35" spans="1:11">
      <c r="A35" s="678">
        <f>+A30+1</f>
        <v>15</v>
      </c>
      <c r="B35" t="s">
        <v>896</v>
      </c>
      <c r="C35" s="1253">
        <f>+E61</f>
        <v>0</v>
      </c>
      <c r="D35" s="1253"/>
      <c r="E35" s="1253"/>
      <c r="F35" s="1253"/>
      <c r="G35" s="1253"/>
      <c r="K35" s="1272"/>
    </row>
    <row r="36" spans="1:11">
      <c r="A36" s="1072">
        <f>+A35+1</f>
        <v>16</v>
      </c>
      <c r="B36" t="s">
        <v>895</v>
      </c>
      <c r="C36" s="1253"/>
      <c r="D36" s="1253">
        <f>+E62</f>
        <v>0</v>
      </c>
      <c r="E36" s="1253"/>
      <c r="F36" s="1253"/>
      <c r="G36" s="1253"/>
    </row>
    <row r="37" spans="1:11">
      <c r="A37" s="1072">
        <f>+A36+1</f>
        <v>17</v>
      </c>
      <c r="B37" s="1254" t="s">
        <v>894</v>
      </c>
      <c r="C37" s="1253"/>
      <c r="D37" s="1253"/>
      <c r="E37" s="1253">
        <v>0</v>
      </c>
      <c r="F37" s="1253"/>
      <c r="G37" s="1253"/>
    </row>
    <row r="38" spans="1:11">
      <c r="A38" s="1072" t="s">
        <v>930</v>
      </c>
      <c r="B38" s="1070" t="s">
        <v>682</v>
      </c>
      <c r="C38" s="1253"/>
      <c r="D38" s="1253"/>
      <c r="E38" s="1253"/>
      <c r="F38" s="1253">
        <v>0</v>
      </c>
      <c r="G38" s="1253"/>
      <c r="K38" s="1273"/>
    </row>
    <row r="39" spans="1:11">
      <c r="A39" s="1072" t="s">
        <v>931</v>
      </c>
      <c r="B39" s="1070"/>
      <c r="C39" s="1253"/>
      <c r="D39" s="1253"/>
      <c r="E39" s="1253"/>
      <c r="F39" s="1253"/>
      <c r="G39" s="1253"/>
    </row>
    <row r="40" spans="1:11">
      <c r="A40" s="1072" t="s">
        <v>932</v>
      </c>
      <c r="B40" s="1070"/>
      <c r="C40" s="1253"/>
      <c r="D40" s="1253"/>
      <c r="E40" s="1253"/>
      <c r="F40" s="1253"/>
      <c r="G40" s="1253"/>
    </row>
    <row r="41" spans="1:11">
      <c r="A41" s="1072" t="s">
        <v>683</v>
      </c>
      <c r="B41" s="1070"/>
      <c r="C41" s="1253"/>
      <c r="D41" s="1253"/>
      <c r="E41" s="1253"/>
      <c r="F41" s="1253"/>
      <c r="G41" s="1253"/>
    </row>
    <row r="42" spans="1:11">
      <c r="A42" s="1072" t="s">
        <v>380</v>
      </c>
      <c r="B42" s="1070"/>
      <c r="C42" s="1253"/>
      <c r="D42" s="1253"/>
      <c r="E42" s="1253"/>
      <c r="F42" s="1253"/>
      <c r="G42" s="1253"/>
    </row>
    <row r="43" spans="1:11" ht="15.75" thickBot="1">
      <c r="A43" s="1072">
        <f>+A37+2</f>
        <v>19</v>
      </c>
      <c r="B43" t="s">
        <v>834</v>
      </c>
      <c r="C43" s="1256">
        <f>SUM(C35:C42)</f>
        <v>0</v>
      </c>
      <c r="D43" s="1256">
        <f>SUM(D35:D42)</f>
        <v>0</v>
      </c>
      <c r="E43" s="1256">
        <f>SUM(E35:E42)</f>
        <v>0</v>
      </c>
      <c r="F43" s="1256">
        <f>SUM(F35:F42)</f>
        <v>0</v>
      </c>
      <c r="G43" s="678"/>
    </row>
    <row r="44" spans="1:11" ht="15.75" thickTop="1">
      <c r="A44" s="1072">
        <f>+A43+1</f>
        <v>20</v>
      </c>
      <c r="B44" t="s">
        <v>770</v>
      </c>
      <c r="C44" s="678">
        <f>+C43</f>
        <v>0</v>
      </c>
      <c r="D44" s="678"/>
    </row>
    <row r="45" spans="1:11">
      <c r="A45" s="1072">
        <f>+A44+1</f>
        <v>21</v>
      </c>
      <c r="B45" t="s">
        <v>822</v>
      </c>
      <c r="C45" s="678">
        <f>+D43</f>
        <v>0</v>
      </c>
      <c r="D45" s="678"/>
    </row>
    <row r="46" spans="1:11">
      <c r="A46" s="1072">
        <f>+A45+1</f>
        <v>22</v>
      </c>
      <c r="B46" t="s">
        <v>771</v>
      </c>
      <c r="C46" s="678">
        <f>+F43</f>
        <v>0</v>
      </c>
      <c r="D46" s="678"/>
    </row>
    <row r="47" spans="1:11">
      <c r="A47" s="1072">
        <f>+A46+1</f>
        <v>23</v>
      </c>
      <c r="B47" t="s">
        <v>916</v>
      </c>
      <c r="C47" s="678">
        <f>+C44+C45+C46</f>
        <v>0</v>
      </c>
      <c r="D47" s="678"/>
    </row>
    <row r="48" spans="1:11">
      <c r="A48" s="1072"/>
      <c r="C48" s="678"/>
      <c r="D48" s="678"/>
    </row>
    <row r="49" spans="1:6">
      <c r="A49" s="1072"/>
    </row>
    <row r="50" spans="1:6">
      <c r="A50" s="1072">
        <f>+A47+1</f>
        <v>24</v>
      </c>
      <c r="B50" t="str">
        <f>+B12</f>
        <v>CEC Portion of O&amp;M</v>
      </c>
      <c r="C50" t="s">
        <v>912</v>
      </c>
      <c r="D50" s="1228">
        <f>+E12</f>
        <v>0</v>
      </c>
    </row>
    <row r="51" spans="1:6">
      <c r="A51" s="1072">
        <f>+A50+1</f>
        <v>25</v>
      </c>
      <c r="B51" t="str">
        <f>+B21</f>
        <v>CEC Portion of Property Tax</v>
      </c>
      <c r="C51" t="s">
        <v>913</v>
      </c>
      <c r="D51" s="1228">
        <f>+E21</f>
        <v>0</v>
      </c>
    </row>
    <row r="52" spans="1:6">
      <c r="A52" s="1072">
        <f>+A51+1</f>
        <v>26</v>
      </c>
      <c r="B52" t="s">
        <v>20</v>
      </c>
      <c r="C52" t="s">
        <v>914</v>
      </c>
      <c r="D52" s="678">
        <f>+D50+D51</f>
        <v>0</v>
      </c>
    </row>
    <row r="53" spans="1:6">
      <c r="A53" s="1072"/>
    </row>
    <row r="54" spans="1:6">
      <c r="A54" s="678">
        <f>+A52+1</f>
        <v>27</v>
      </c>
      <c r="B54" t="s">
        <v>837</v>
      </c>
      <c r="C54" t="s">
        <v>893</v>
      </c>
      <c r="D54" s="1228">
        <f>+E63</f>
        <v>0</v>
      </c>
    </row>
    <row r="55" spans="1:6">
      <c r="A55" s="678">
        <f>+A54+1</f>
        <v>28</v>
      </c>
      <c r="B55" t="s">
        <v>684</v>
      </c>
      <c r="C55" t="s">
        <v>915</v>
      </c>
      <c r="D55" s="678">
        <f>+D54-D52</f>
        <v>0</v>
      </c>
    </row>
    <row r="58" spans="1:6">
      <c r="A58" t="s">
        <v>179</v>
      </c>
    </row>
    <row r="59" spans="1:6">
      <c r="B59" s="1239" t="s">
        <v>661</v>
      </c>
      <c r="C59" s="1237" t="s">
        <v>892</v>
      </c>
      <c r="D59" s="1237" t="s">
        <v>116</v>
      </c>
      <c r="E59" s="1241" t="s">
        <v>755</v>
      </c>
      <c r="F59" s="1241" t="s">
        <v>20</v>
      </c>
    </row>
    <row r="60" spans="1:6">
      <c r="F60" s="1073"/>
    </row>
    <row r="61" spans="1:6">
      <c r="A61" s="1277" t="s">
        <v>891</v>
      </c>
      <c r="B61" s="856" t="s">
        <v>765</v>
      </c>
      <c r="C61" s="856" t="s">
        <v>905</v>
      </c>
      <c r="D61" s="1253">
        <v>0</v>
      </c>
      <c r="E61" s="1253">
        <v>0</v>
      </c>
      <c r="F61" s="1228">
        <f>+D61+E61</f>
        <v>0</v>
      </c>
    </row>
    <row r="62" spans="1:6">
      <c r="A62" s="1277" t="s">
        <v>890</v>
      </c>
      <c r="B62" t="s">
        <v>889</v>
      </c>
      <c r="C62" s="856" t="s">
        <v>911</v>
      </c>
      <c r="D62" s="1253">
        <v>0</v>
      </c>
      <c r="E62" s="1253">
        <v>0</v>
      </c>
      <c r="F62" s="1228">
        <f>+D62+E62</f>
        <v>0</v>
      </c>
    </row>
    <row r="63" spans="1:6">
      <c r="A63" s="1277" t="s">
        <v>888</v>
      </c>
      <c r="B63" t="s">
        <v>838</v>
      </c>
      <c r="C63" s="856" t="str">
        <f>+C61</f>
        <v>Page 115, col (k)</v>
      </c>
      <c r="D63" s="1253">
        <v>0</v>
      </c>
      <c r="E63" s="1253">
        <v>0</v>
      </c>
      <c r="F63" s="1228">
        <f>+D63+E63</f>
        <v>0</v>
      </c>
    </row>
    <row r="64" spans="1:6">
      <c r="A64" s="1277" t="s">
        <v>887</v>
      </c>
      <c r="B64" t="s">
        <v>908</v>
      </c>
      <c r="C64" s="1261" t="s">
        <v>907</v>
      </c>
      <c r="D64" s="1276">
        <v>0</v>
      </c>
      <c r="E64" s="1276">
        <v>0</v>
      </c>
      <c r="F64" s="1228">
        <f>+D64+E64</f>
        <v>0</v>
      </c>
    </row>
    <row r="65" spans="1:6">
      <c r="A65" s="1277" t="s">
        <v>886</v>
      </c>
      <c r="B65" t="s">
        <v>885</v>
      </c>
      <c r="C65" s="1261" t="s">
        <v>906</v>
      </c>
      <c r="D65" s="1276">
        <v>0</v>
      </c>
      <c r="E65" s="1276">
        <v>0</v>
      </c>
      <c r="F65" s="1228">
        <f>+D65+E65</f>
        <v>0</v>
      </c>
    </row>
    <row r="66" spans="1:6">
      <c r="A66" s="1275"/>
      <c r="B66" s="1073"/>
      <c r="C66" s="1254"/>
      <c r="D66" s="1274"/>
      <c r="E66" s="1274"/>
      <c r="F66" s="1228"/>
    </row>
    <row r="67" spans="1:6">
      <c r="C67" s="856"/>
    </row>
  </sheetData>
  <mergeCells count="2">
    <mergeCell ref="A2:E2"/>
    <mergeCell ref="A3:E3"/>
  </mergeCells>
  <pageMargins left="0.25" right="0.25" top="0.75" bottom="0.75" header="0.3" footer="0.3"/>
  <pageSetup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AP31"/>
  <sheetViews>
    <sheetView view="pageBreakPreview" zoomScaleNormal="100" zoomScaleSheetLayoutView="100" workbookViewId="0">
      <selection activeCell="AL9" sqref="AL9"/>
    </sheetView>
  </sheetViews>
  <sheetFormatPr defaultColWidth="7.109375" defaultRowHeight="11.25"/>
  <cols>
    <col min="1" max="2" width="2.5546875" style="1397" customWidth="1"/>
    <col min="3" max="3" width="24" style="1377" customWidth="1"/>
    <col min="4" max="4" width="8.5546875" style="1403" customWidth="1"/>
    <col min="5" max="5" width="1.33203125" style="1404" customWidth="1"/>
    <col min="6" max="6" width="8.33203125" style="1405" customWidth="1"/>
    <col min="7" max="7" width="1.33203125" style="1406" customWidth="1"/>
    <col min="8" max="8" width="8.21875" style="1403" customWidth="1"/>
    <col min="9" max="9" width="1.33203125" style="1406" customWidth="1"/>
    <col min="10" max="10" width="7" style="1377" customWidth="1"/>
    <col min="11" max="11" width="1.33203125" style="1397" customWidth="1"/>
    <col min="12" max="12" width="8.77734375" style="1403" customWidth="1"/>
    <col min="13" max="13" width="1.33203125" style="1397" customWidth="1"/>
    <col min="14" max="14" width="7.6640625" style="1377" customWidth="1"/>
    <col min="15" max="15" width="1.88671875" style="1377" bestFit="1" customWidth="1"/>
    <col min="16" max="16" width="9.33203125" style="1377" customWidth="1"/>
    <col min="17" max="17" width="7.109375" style="1397" customWidth="1"/>
    <col min="18" max="18" width="7.21875" style="1397" bestFit="1" customWidth="1"/>
    <col min="19" max="19" width="8.5546875" style="1397" customWidth="1"/>
    <col min="20" max="20" width="7.109375" style="1397" customWidth="1"/>
    <col min="21" max="21" width="9.21875" style="1397" customWidth="1"/>
    <col min="22" max="23" width="9" style="1397" customWidth="1"/>
    <col min="24" max="24" width="8.109375" style="1397" customWidth="1"/>
    <col min="25" max="25" width="7.5546875" style="1397" bestFit="1" customWidth="1"/>
    <col min="26" max="27" width="7.6640625" style="1397" bestFit="1" customWidth="1"/>
    <col min="28" max="28" width="7.5546875" style="1397" bestFit="1" customWidth="1"/>
    <col min="29" max="29" width="7.109375" style="1397" customWidth="1"/>
    <col min="30" max="30" width="10" style="1397" customWidth="1"/>
    <col min="31" max="31" width="1.44140625" style="1397" customWidth="1"/>
    <col min="32" max="32" width="9.33203125" style="1405" customWidth="1"/>
    <col min="33" max="33" width="1.33203125" style="1397" customWidth="1"/>
    <col min="34" max="34" width="11.21875" style="1377" customWidth="1"/>
    <col min="35" max="35" width="1.33203125" style="1397" customWidth="1"/>
    <col min="36" max="36" width="9.21875" style="1377" customWidth="1"/>
    <col min="37" max="37" width="1.33203125" style="1397" customWidth="1"/>
    <col min="38" max="38" width="10.5546875" style="1377" bestFit="1" customWidth="1"/>
    <col min="39" max="39" width="1.33203125" style="1397" customWidth="1"/>
    <col min="40" max="40" width="9.77734375" style="1402" customWidth="1"/>
    <col min="41" max="41" width="1.33203125" style="1397" customWidth="1"/>
    <col min="42" max="42" width="10.6640625" style="1402" bestFit="1" customWidth="1"/>
    <col min="43" max="16384" width="7.109375" style="1377"/>
  </cols>
  <sheetData>
    <row r="1" spans="1:42" ht="15">
      <c r="A1" s="1254" t="s">
        <v>1070</v>
      </c>
      <c r="B1" s="1254"/>
      <c r="C1" s="1254"/>
      <c r="D1" s="1254"/>
      <c r="Q1" s="1254" t="s">
        <v>1070</v>
      </c>
      <c r="AD1" s="1254" t="s">
        <v>1070</v>
      </c>
    </row>
    <row r="2" spans="1:42" ht="15.75">
      <c r="A2" s="1254" t="s">
        <v>1067</v>
      </c>
      <c r="B2" s="1254"/>
      <c r="C2" s="1254"/>
      <c r="D2" s="1254"/>
      <c r="Q2" s="1254" t="s">
        <v>1067</v>
      </c>
      <c r="AD2" s="1254" t="s">
        <v>1067</v>
      </c>
    </row>
    <row r="4" spans="1:42" s="1360" customFormat="1" ht="12">
      <c r="C4" s="1360" t="s">
        <v>459</v>
      </c>
      <c r="D4" s="1361" t="s">
        <v>591</v>
      </c>
      <c r="F4" s="1362" t="s">
        <v>839</v>
      </c>
      <c r="G4" s="1361"/>
      <c r="H4" s="1361" t="s">
        <v>589</v>
      </c>
      <c r="I4" s="1361"/>
      <c r="J4" s="1360" t="s">
        <v>840</v>
      </c>
      <c r="L4" s="1361" t="s">
        <v>587</v>
      </c>
      <c r="N4" s="1360" t="s">
        <v>586</v>
      </c>
      <c r="P4" s="1363" t="s">
        <v>585</v>
      </c>
      <c r="Q4" s="1363" t="s">
        <v>848</v>
      </c>
      <c r="R4" s="1363" t="s">
        <v>849</v>
      </c>
      <c r="S4" s="1363" t="s">
        <v>850</v>
      </c>
      <c r="T4" s="1363" t="s">
        <v>851</v>
      </c>
      <c r="U4" s="1363" t="s">
        <v>852</v>
      </c>
      <c r="V4" s="1363" t="s">
        <v>853</v>
      </c>
      <c r="W4" s="1363" t="s">
        <v>854</v>
      </c>
      <c r="X4" s="1363" t="s">
        <v>855</v>
      </c>
      <c r="Y4" s="1364" t="s">
        <v>856</v>
      </c>
      <c r="Z4" s="1365" t="s">
        <v>857</v>
      </c>
      <c r="AA4" s="1365" t="s">
        <v>858</v>
      </c>
      <c r="AB4" s="1360" t="s">
        <v>859</v>
      </c>
      <c r="AC4" s="1362" t="s">
        <v>860</v>
      </c>
      <c r="AD4" s="1360" t="s">
        <v>964</v>
      </c>
      <c r="AF4" s="1360" t="s">
        <v>965</v>
      </c>
      <c r="AH4" s="1360" t="s">
        <v>966</v>
      </c>
      <c r="AJ4" s="1360" t="s">
        <v>967</v>
      </c>
      <c r="AL4" s="1360" t="s">
        <v>968</v>
      </c>
      <c r="AN4" s="1360" t="s">
        <v>969</v>
      </c>
    </row>
    <row r="5" spans="1:42" s="1367" customFormat="1" ht="32.25" customHeight="1">
      <c r="A5" s="1760" t="s">
        <v>16</v>
      </c>
      <c r="B5" s="1760"/>
      <c r="C5" s="1760" t="s">
        <v>392</v>
      </c>
      <c r="D5" s="1760" t="s">
        <v>841</v>
      </c>
      <c r="E5" s="1760" t="s">
        <v>842</v>
      </c>
      <c r="F5" s="1760" t="s">
        <v>843</v>
      </c>
      <c r="G5" s="1760" t="s">
        <v>65</v>
      </c>
      <c r="H5" s="1760" t="s">
        <v>844</v>
      </c>
      <c r="I5" s="1760" t="s">
        <v>845</v>
      </c>
      <c r="J5" s="1760" t="s">
        <v>846</v>
      </c>
      <c r="K5" s="1760" t="s">
        <v>65</v>
      </c>
      <c r="L5" s="1760" t="s">
        <v>847</v>
      </c>
      <c r="M5" s="1760" t="s">
        <v>845</v>
      </c>
      <c r="N5" s="1760" t="s">
        <v>970</v>
      </c>
      <c r="O5" s="1760" t="s">
        <v>65</v>
      </c>
      <c r="P5" s="1760" t="s">
        <v>971</v>
      </c>
      <c r="Q5" s="1366" t="s">
        <v>864</v>
      </c>
      <c r="R5" s="1366" t="s">
        <v>865</v>
      </c>
      <c r="S5" s="1366" t="s">
        <v>866</v>
      </c>
      <c r="T5" s="1366" t="s">
        <v>867</v>
      </c>
      <c r="U5" s="1366" t="s">
        <v>868</v>
      </c>
      <c r="V5" s="1366" t="s">
        <v>869</v>
      </c>
      <c r="W5" s="1366" t="s">
        <v>868</v>
      </c>
      <c r="X5" s="1366" t="s">
        <v>870</v>
      </c>
      <c r="Y5" s="1366" t="s">
        <v>871</v>
      </c>
      <c r="Z5" s="1366" t="s">
        <v>872</v>
      </c>
      <c r="AA5" s="1366" t="s">
        <v>873</v>
      </c>
      <c r="AB5" s="1366" t="s">
        <v>874</v>
      </c>
      <c r="AC5" s="1366" t="s">
        <v>864</v>
      </c>
      <c r="AD5" s="1760" t="s">
        <v>972</v>
      </c>
      <c r="AE5" s="1760" t="s">
        <v>845</v>
      </c>
      <c r="AF5" s="1760" t="s">
        <v>973</v>
      </c>
      <c r="AG5" s="1760" t="s">
        <v>845</v>
      </c>
      <c r="AH5" s="1760" t="s">
        <v>974</v>
      </c>
      <c r="AI5" s="1760" t="s">
        <v>65</v>
      </c>
      <c r="AJ5" s="1760" t="s">
        <v>975</v>
      </c>
      <c r="AK5" s="1760"/>
      <c r="AL5" s="1760" t="s">
        <v>976</v>
      </c>
      <c r="AM5" s="1760"/>
      <c r="AN5" s="1760" t="s">
        <v>977</v>
      </c>
    </row>
    <row r="6" spans="1:42" s="1367" customFormat="1">
      <c r="A6" s="1760"/>
      <c r="B6" s="1760"/>
      <c r="C6" s="1760"/>
      <c r="D6" s="1760"/>
      <c r="E6" s="1760"/>
      <c r="F6" s="1760"/>
      <c r="G6" s="1760"/>
      <c r="H6" s="1760"/>
      <c r="I6" s="1760"/>
      <c r="J6" s="1760"/>
      <c r="K6" s="1760"/>
      <c r="L6" s="1760"/>
      <c r="M6" s="1760"/>
      <c r="N6" s="1760"/>
      <c r="O6" s="1760"/>
      <c r="P6" s="1760"/>
      <c r="Q6" s="1368" t="s">
        <v>1081</v>
      </c>
      <c r="R6" s="1368" t="s">
        <v>1083</v>
      </c>
      <c r="S6" s="1368" t="s">
        <v>1083</v>
      </c>
      <c r="T6" s="1368" t="s">
        <v>1083</v>
      </c>
      <c r="U6" s="1368" t="s">
        <v>1083</v>
      </c>
      <c r="V6" s="1368" t="s">
        <v>1083</v>
      </c>
      <c r="W6" s="1368" t="s">
        <v>1083</v>
      </c>
      <c r="X6" s="1368" t="s">
        <v>1083</v>
      </c>
      <c r="Y6" s="1368" t="s">
        <v>1083</v>
      </c>
      <c r="Z6" s="1368" t="s">
        <v>1083</v>
      </c>
      <c r="AA6" s="1368" t="s">
        <v>1083</v>
      </c>
      <c r="AB6" s="1368" t="s">
        <v>1083</v>
      </c>
      <c r="AC6" s="1368" t="s">
        <v>1083</v>
      </c>
      <c r="AD6" s="1760"/>
      <c r="AE6" s="1760"/>
      <c r="AF6" s="1760"/>
      <c r="AG6" s="1760"/>
      <c r="AH6" s="1760"/>
      <c r="AI6" s="1760"/>
      <c r="AJ6" s="1760"/>
      <c r="AK6" s="1760"/>
      <c r="AL6" s="1760"/>
      <c r="AM6" s="1760"/>
      <c r="AN6" s="1760"/>
    </row>
    <row r="7" spans="1:42">
      <c r="A7" s="1369">
        <v>1</v>
      </c>
      <c r="B7" s="1369"/>
      <c r="C7" s="1432" t="s">
        <v>978</v>
      </c>
      <c r="D7" s="1631">
        <v>2469088.4700000002</v>
      </c>
      <c r="E7" s="1371"/>
      <c r="F7" s="1631">
        <v>60</v>
      </c>
      <c r="G7" s="1371"/>
      <c r="H7" s="1370">
        <f t="shared" ref="H7:H16" si="0">IFERROR(D7/F7,0)</f>
        <v>41151.474500000004</v>
      </c>
      <c r="I7" s="1371"/>
      <c r="J7" s="1372">
        <v>12</v>
      </c>
      <c r="K7" s="1371"/>
      <c r="L7" s="1370">
        <f t="shared" ref="L7:L16" si="1">IFERROR(H7*J7,0)</f>
        <v>493817.69400000002</v>
      </c>
      <c r="M7" s="1373"/>
      <c r="N7" s="1435">
        <v>1</v>
      </c>
      <c r="O7" s="1371"/>
      <c r="P7" s="1370">
        <f t="shared" ref="P7:P16" si="2">IFERROR(L7*N7,0)</f>
        <v>493817.69400000002</v>
      </c>
      <c r="Q7" s="1631">
        <v>1974684</v>
      </c>
      <c r="R7" s="1633">
        <f>Q7-$H$7</f>
        <v>1933532.5255</v>
      </c>
      <c r="S7" s="1633">
        <f t="shared" ref="S7:AC7" si="3">R7-$H$7</f>
        <v>1892381.051</v>
      </c>
      <c r="T7" s="1633">
        <f t="shared" si="3"/>
        <v>1851229.5765</v>
      </c>
      <c r="U7" s="1633">
        <f t="shared" si="3"/>
        <v>1810078.102</v>
      </c>
      <c r="V7" s="1633">
        <f t="shared" si="3"/>
        <v>1768926.6274999999</v>
      </c>
      <c r="W7" s="1633">
        <f>V7-$H$7</f>
        <v>1727775.1529999999</v>
      </c>
      <c r="X7" s="1633">
        <f t="shared" si="3"/>
        <v>1686623.6784999999</v>
      </c>
      <c r="Y7" s="1633">
        <f t="shared" si="3"/>
        <v>1645472.2039999999</v>
      </c>
      <c r="Z7" s="1633">
        <f>Y7-$H$7+587</f>
        <v>1604907.7294999999</v>
      </c>
      <c r="AA7" s="1633">
        <f t="shared" si="3"/>
        <v>1563756.2549999999</v>
      </c>
      <c r="AB7" s="1633">
        <f t="shared" si="3"/>
        <v>1522604.7804999999</v>
      </c>
      <c r="AC7" s="1633">
        <f t="shared" si="3"/>
        <v>1481453.3059999999</v>
      </c>
      <c r="AD7" s="1374">
        <f t="shared" ref="AD7:AD16" si="4">SUM(Q7:AC7)/13</f>
        <v>1727955.7683846154</v>
      </c>
      <c r="AE7" s="1371"/>
      <c r="AF7" s="1435">
        <v>1</v>
      </c>
      <c r="AG7" s="1371"/>
      <c r="AH7" s="1375">
        <f t="shared" ref="AH7:AH16" si="5">N7</f>
        <v>1</v>
      </c>
      <c r="AI7" s="1369"/>
      <c r="AJ7" s="1376">
        <f t="shared" ref="AJ7:AJ16" si="6">AD7*AH7</f>
        <v>1727955.7683846154</v>
      </c>
      <c r="AK7" s="1369"/>
      <c r="AL7" s="1438">
        <v>182310</v>
      </c>
      <c r="AM7" s="1369"/>
      <c r="AN7" s="1635" t="s">
        <v>1088</v>
      </c>
      <c r="AO7" s="1377"/>
      <c r="AP7" s="1377"/>
    </row>
    <row r="8" spans="1:42">
      <c r="A8" s="1378" t="s">
        <v>312</v>
      </c>
      <c r="B8" s="1378"/>
      <c r="C8" s="1433" t="s">
        <v>1082</v>
      </c>
      <c r="D8" s="1632">
        <v>6843031.4000000004</v>
      </c>
      <c r="E8" s="1380"/>
      <c r="F8" s="1632">
        <v>57</v>
      </c>
      <c r="G8" s="1380"/>
      <c r="H8" s="1379">
        <f t="shared" si="0"/>
        <v>120053.18245614036</v>
      </c>
      <c r="I8" s="1378"/>
      <c r="J8" s="1381">
        <v>12</v>
      </c>
      <c r="K8" s="1378"/>
      <c r="L8" s="1370">
        <f t="shared" si="1"/>
        <v>1440638.1894736844</v>
      </c>
      <c r="M8" s="1382"/>
      <c r="N8" s="1423">
        <v>1</v>
      </c>
      <c r="O8" s="1378"/>
      <c r="P8" s="1379">
        <f t="shared" si="2"/>
        <v>1440638.1894736844</v>
      </c>
      <c r="Q8" s="1634">
        <v>5762552.7599999998</v>
      </c>
      <c r="R8" s="1633">
        <f>Q8-$H$8</f>
        <v>5642499.5775438594</v>
      </c>
      <c r="S8" s="1633">
        <f t="shared" ref="S8:AC8" si="7">R8-$H$8</f>
        <v>5522446.395087719</v>
      </c>
      <c r="T8" s="1633">
        <f t="shared" si="7"/>
        <v>5402393.2126315786</v>
      </c>
      <c r="U8" s="1633">
        <f t="shared" si="7"/>
        <v>5282340.0301754382</v>
      </c>
      <c r="V8" s="1633">
        <f t="shared" si="7"/>
        <v>5162286.8477192977</v>
      </c>
      <c r="W8" s="1633">
        <f t="shared" si="7"/>
        <v>5042233.6652631573</v>
      </c>
      <c r="X8" s="1633">
        <f t="shared" si="7"/>
        <v>4922180.4828070169</v>
      </c>
      <c r="Y8" s="1633">
        <f t="shared" si="7"/>
        <v>4802127.3003508765</v>
      </c>
      <c r="Z8" s="1633">
        <f t="shared" si="7"/>
        <v>4682074.1178947361</v>
      </c>
      <c r="AA8" s="1633">
        <f t="shared" si="7"/>
        <v>4562020.9354385957</v>
      </c>
      <c r="AB8" s="1633">
        <f t="shared" si="7"/>
        <v>4441967.7529824553</v>
      </c>
      <c r="AC8" s="1633">
        <f t="shared" si="7"/>
        <v>4321914.5705263149</v>
      </c>
      <c r="AD8" s="1384">
        <f t="shared" si="4"/>
        <v>5042233.6652631573</v>
      </c>
      <c r="AE8" s="1378"/>
      <c r="AF8" s="1423">
        <v>1</v>
      </c>
      <c r="AG8" s="1378"/>
      <c r="AH8" s="1385">
        <f t="shared" si="5"/>
        <v>1</v>
      </c>
      <c r="AI8" s="1378"/>
      <c r="AJ8" s="1386">
        <f t="shared" si="6"/>
        <v>5042233.6652631573</v>
      </c>
      <c r="AK8" s="1378"/>
      <c r="AL8" s="1439">
        <v>182312</v>
      </c>
      <c r="AM8" s="1378"/>
      <c r="AN8" s="1636" t="s">
        <v>1192</v>
      </c>
      <c r="AO8" s="1377"/>
      <c r="AP8" s="1377"/>
    </row>
    <row r="9" spans="1:42">
      <c r="A9" s="1378" t="s">
        <v>879</v>
      </c>
      <c r="B9" s="1378"/>
      <c r="C9" s="1433"/>
      <c r="D9" s="1381">
        <v>0</v>
      </c>
      <c r="E9" s="1380"/>
      <c r="F9" s="1381">
        <v>0</v>
      </c>
      <c r="G9" s="1380"/>
      <c r="H9" s="1379">
        <f t="shared" si="0"/>
        <v>0</v>
      </c>
      <c r="I9" s="1378"/>
      <c r="J9" s="1381"/>
      <c r="K9" s="1378"/>
      <c r="L9" s="1370">
        <f t="shared" si="1"/>
        <v>0</v>
      </c>
      <c r="M9" s="1382"/>
      <c r="N9" s="1423"/>
      <c r="O9" s="1378"/>
      <c r="P9" s="1379">
        <f t="shared" si="2"/>
        <v>0</v>
      </c>
      <c r="Q9" s="1383"/>
      <c r="R9" s="1383"/>
      <c r="S9" s="1383"/>
      <c r="T9" s="1383"/>
      <c r="U9" s="1383"/>
      <c r="V9" s="1383"/>
      <c r="W9" s="1383"/>
      <c r="X9" s="1383"/>
      <c r="Y9" s="1383"/>
      <c r="Z9" s="1383"/>
      <c r="AA9" s="1383"/>
      <c r="AB9" s="1383"/>
      <c r="AC9" s="1383"/>
      <c r="AD9" s="1384">
        <f t="shared" si="4"/>
        <v>0</v>
      </c>
      <c r="AE9" s="1378"/>
      <c r="AF9" s="1423">
        <v>0</v>
      </c>
      <c r="AG9" s="1378"/>
      <c r="AH9" s="1385">
        <f t="shared" si="5"/>
        <v>0</v>
      </c>
      <c r="AI9" s="1378"/>
      <c r="AJ9" s="1386">
        <f t="shared" si="6"/>
        <v>0</v>
      </c>
      <c r="AK9" s="1378"/>
      <c r="AL9" s="1439"/>
      <c r="AM9" s="1378"/>
      <c r="AN9" s="1439"/>
      <c r="AO9" s="1377"/>
      <c r="AP9" s="1377"/>
    </row>
    <row r="10" spans="1:42">
      <c r="A10" s="1378" t="s">
        <v>880</v>
      </c>
      <c r="B10" s="1378"/>
      <c r="C10" s="1433"/>
      <c r="D10" s="1381">
        <v>0</v>
      </c>
      <c r="E10" s="1380"/>
      <c r="F10" s="1381">
        <v>0</v>
      </c>
      <c r="G10" s="1380"/>
      <c r="H10" s="1379">
        <f t="shared" si="0"/>
        <v>0</v>
      </c>
      <c r="I10" s="1378"/>
      <c r="J10" s="1381"/>
      <c r="K10" s="1378"/>
      <c r="L10" s="1370">
        <f t="shared" si="1"/>
        <v>0</v>
      </c>
      <c r="M10" s="1382"/>
      <c r="N10" s="1423"/>
      <c r="O10" s="1378"/>
      <c r="P10" s="1379">
        <f t="shared" si="2"/>
        <v>0</v>
      </c>
      <c r="Q10" s="1383"/>
      <c r="R10" s="1383"/>
      <c r="S10" s="1383"/>
      <c r="T10" s="1383"/>
      <c r="U10" s="1383"/>
      <c r="V10" s="1383"/>
      <c r="W10" s="1383"/>
      <c r="X10" s="1383"/>
      <c r="Y10" s="1383"/>
      <c r="Z10" s="1383"/>
      <c r="AA10" s="1383"/>
      <c r="AB10" s="1383"/>
      <c r="AC10" s="1383"/>
      <c r="AD10" s="1384">
        <f t="shared" si="4"/>
        <v>0</v>
      </c>
      <c r="AE10" s="1378"/>
      <c r="AF10" s="1423">
        <v>0</v>
      </c>
      <c r="AG10" s="1378"/>
      <c r="AH10" s="1385">
        <f t="shared" si="5"/>
        <v>0</v>
      </c>
      <c r="AI10" s="1378"/>
      <c r="AJ10" s="1386">
        <f t="shared" si="6"/>
        <v>0</v>
      </c>
      <c r="AK10" s="1378"/>
      <c r="AL10" s="1439"/>
      <c r="AM10" s="1378"/>
      <c r="AN10" s="1439"/>
      <c r="AO10" s="1377"/>
      <c r="AP10" s="1377"/>
    </row>
    <row r="11" spans="1:42">
      <c r="A11" s="1378" t="s">
        <v>380</v>
      </c>
      <c r="B11" s="1378"/>
      <c r="C11" s="1433"/>
      <c r="D11" s="1381">
        <v>0</v>
      </c>
      <c r="E11" s="1380"/>
      <c r="F11" s="1381">
        <v>0</v>
      </c>
      <c r="G11" s="1380"/>
      <c r="H11" s="1379">
        <f t="shared" si="0"/>
        <v>0</v>
      </c>
      <c r="I11" s="1378"/>
      <c r="J11" s="1381"/>
      <c r="K11" s="1378"/>
      <c r="L11" s="1370">
        <f t="shared" si="1"/>
        <v>0</v>
      </c>
      <c r="M11" s="1382"/>
      <c r="N11" s="1423"/>
      <c r="O11" s="1378"/>
      <c r="P11" s="1379">
        <f t="shared" si="2"/>
        <v>0</v>
      </c>
      <c r="Q11" s="1383"/>
      <c r="R11" s="1383"/>
      <c r="S11" s="1383"/>
      <c r="T11" s="1383"/>
      <c r="U11" s="1383"/>
      <c r="V11" s="1383"/>
      <c r="W11" s="1383"/>
      <c r="X11" s="1383"/>
      <c r="Y11" s="1383"/>
      <c r="Z11" s="1383"/>
      <c r="AA11" s="1383"/>
      <c r="AB11" s="1383"/>
      <c r="AC11" s="1383"/>
      <c r="AD11" s="1384">
        <f t="shared" si="4"/>
        <v>0</v>
      </c>
      <c r="AE11" s="1378"/>
      <c r="AF11" s="1423">
        <v>0</v>
      </c>
      <c r="AG11" s="1378"/>
      <c r="AH11" s="1385">
        <f t="shared" si="5"/>
        <v>0</v>
      </c>
      <c r="AI11" s="1378"/>
      <c r="AJ11" s="1386">
        <f t="shared" si="6"/>
        <v>0</v>
      </c>
      <c r="AK11" s="1378"/>
      <c r="AL11" s="1439"/>
      <c r="AM11" s="1378"/>
      <c r="AN11" s="1439"/>
      <c r="AO11" s="1377"/>
      <c r="AP11" s="1377"/>
    </row>
    <row r="12" spans="1:42">
      <c r="A12" s="1378" t="s">
        <v>380</v>
      </c>
      <c r="B12" s="1378"/>
      <c r="C12" s="1433"/>
      <c r="D12" s="1381">
        <v>0</v>
      </c>
      <c r="E12" s="1380"/>
      <c r="F12" s="1381">
        <v>0</v>
      </c>
      <c r="G12" s="1380"/>
      <c r="H12" s="1379">
        <f t="shared" si="0"/>
        <v>0</v>
      </c>
      <c r="I12" s="1378"/>
      <c r="J12" s="1381"/>
      <c r="K12" s="1378"/>
      <c r="L12" s="1370">
        <f t="shared" si="1"/>
        <v>0</v>
      </c>
      <c r="M12" s="1382"/>
      <c r="N12" s="1423"/>
      <c r="O12" s="1378"/>
      <c r="P12" s="1379">
        <f t="shared" si="2"/>
        <v>0</v>
      </c>
      <c r="Q12" s="1383"/>
      <c r="R12" s="1383"/>
      <c r="S12" s="1383"/>
      <c r="T12" s="1383"/>
      <c r="U12" s="1383"/>
      <c r="V12" s="1383"/>
      <c r="W12" s="1383"/>
      <c r="X12" s="1383"/>
      <c r="Y12" s="1383"/>
      <c r="Z12" s="1383"/>
      <c r="AA12" s="1383"/>
      <c r="AB12" s="1383"/>
      <c r="AC12" s="1383"/>
      <c r="AD12" s="1384">
        <f t="shared" si="4"/>
        <v>0</v>
      </c>
      <c r="AE12" s="1378"/>
      <c r="AF12" s="1423">
        <v>0</v>
      </c>
      <c r="AG12" s="1378"/>
      <c r="AH12" s="1385">
        <f t="shared" si="5"/>
        <v>0</v>
      </c>
      <c r="AI12" s="1378"/>
      <c r="AJ12" s="1386">
        <f t="shared" si="6"/>
        <v>0</v>
      </c>
      <c r="AK12" s="1378"/>
      <c r="AL12" s="1439"/>
      <c r="AM12" s="1378"/>
      <c r="AN12" s="1439"/>
      <c r="AO12" s="1377"/>
      <c r="AP12" s="1377"/>
    </row>
    <row r="13" spans="1:42">
      <c r="A13" s="1378" t="s">
        <v>380</v>
      </c>
      <c r="B13" s="1378"/>
      <c r="C13" s="1433"/>
      <c r="D13" s="1381">
        <v>0</v>
      </c>
      <c r="E13" s="1380"/>
      <c r="F13" s="1381">
        <v>0</v>
      </c>
      <c r="G13" s="1380"/>
      <c r="H13" s="1379">
        <f t="shared" si="0"/>
        <v>0</v>
      </c>
      <c r="I13" s="1378"/>
      <c r="J13" s="1381"/>
      <c r="K13" s="1378"/>
      <c r="L13" s="1370">
        <f t="shared" si="1"/>
        <v>0</v>
      </c>
      <c r="M13" s="1382"/>
      <c r="N13" s="1423"/>
      <c r="O13" s="1378"/>
      <c r="P13" s="1379">
        <f t="shared" si="2"/>
        <v>0</v>
      </c>
      <c r="Q13" s="1383"/>
      <c r="R13" s="1383"/>
      <c r="S13" s="1383"/>
      <c r="T13" s="1383"/>
      <c r="U13" s="1383"/>
      <c r="V13" s="1383"/>
      <c r="W13" s="1383"/>
      <c r="X13" s="1383"/>
      <c r="Y13" s="1383"/>
      <c r="Z13" s="1383"/>
      <c r="AA13" s="1383"/>
      <c r="AB13" s="1383"/>
      <c r="AC13" s="1383"/>
      <c r="AD13" s="1384">
        <f t="shared" si="4"/>
        <v>0</v>
      </c>
      <c r="AE13" s="1378"/>
      <c r="AF13" s="1423">
        <v>0</v>
      </c>
      <c r="AG13" s="1378"/>
      <c r="AH13" s="1385">
        <f t="shared" si="5"/>
        <v>0</v>
      </c>
      <c r="AI13" s="1378"/>
      <c r="AJ13" s="1386">
        <f t="shared" si="6"/>
        <v>0</v>
      </c>
      <c r="AK13" s="1378"/>
      <c r="AL13" s="1439"/>
      <c r="AM13" s="1378"/>
      <c r="AN13" s="1439"/>
      <c r="AO13" s="1377"/>
      <c r="AP13" s="1377"/>
    </row>
    <row r="14" spans="1:42">
      <c r="A14" s="1378" t="s">
        <v>380</v>
      </c>
      <c r="B14" s="1378"/>
      <c r="C14" s="1433"/>
      <c r="D14" s="1381">
        <v>0</v>
      </c>
      <c r="E14" s="1380"/>
      <c r="F14" s="1381">
        <v>0</v>
      </c>
      <c r="G14" s="1380"/>
      <c r="H14" s="1379">
        <f t="shared" si="0"/>
        <v>0</v>
      </c>
      <c r="I14" s="1378"/>
      <c r="J14" s="1381"/>
      <c r="K14" s="1378"/>
      <c r="L14" s="1370">
        <f t="shared" si="1"/>
        <v>0</v>
      </c>
      <c r="M14" s="1382"/>
      <c r="N14" s="1423"/>
      <c r="O14" s="1378"/>
      <c r="P14" s="1379">
        <f t="shared" si="2"/>
        <v>0</v>
      </c>
      <c r="Q14" s="1383"/>
      <c r="R14" s="1383"/>
      <c r="S14" s="1383"/>
      <c r="T14" s="1383"/>
      <c r="U14" s="1383"/>
      <c r="V14" s="1383"/>
      <c r="W14" s="1383"/>
      <c r="X14" s="1383"/>
      <c r="Y14" s="1383"/>
      <c r="Z14" s="1383"/>
      <c r="AA14" s="1383"/>
      <c r="AB14" s="1383"/>
      <c r="AC14" s="1383"/>
      <c r="AD14" s="1384">
        <f t="shared" si="4"/>
        <v>0</v>
      </c>
      <c r="AE14" s="1378"/>
      <c r="AF14" s="1423">
        <v>0</v>
      </c>
      <c r="AG14" s="1378"/>
      <c r="AH14" s="1385">
        <f t="shared" si="5"/>
        <v>0</v>
      </c>
      <c r="AI14" s="1378"/>
      <c r="AJ14" s="1386">
        <f t="shared" si="6"/>
        <v>0</v>
      </c>
      <c r="AK14" s="1378"/>
      <c r="AL14" s="1439"/>
      <c r="AM14" s="1378"/>
      <c r="AN14" s="1439"/>
      <c r="AO14" s="1377"/>
      <c r="AP14" s="1377"/>
    </row>
    <row r="15" spans="1:42">
      <c r="A15" s="1378" t="s">
        <v>380</v>
      </c>
      <c r="B15" s="1378"/>
      <c r="C15" s="1433"/>
      <c r="D15" s="1381">
        <v>0</v>
      </c>
      <c r="E15" s="1380"/>
      <c r="F15" s="1381">
        <v>0</v>
      </c>
      <c r="G15" s="1380"/>
      <c r="H15" s="1379">
        <f t="shared" si="0"/>
        <v>0</v>
      </c>
      <c r="I15" s="1378"/>
      <c r="J15" s="1381"/>
      <c r="K15" s="1378"/>
      <c r="L15" s="1370">
        <f t="shared" si="1"/>
        <v>0</v>
      </c>
      <c r="M15" s="1382"/>
      <c r="N15" s="1423"/>
      <c r="O15" s="1378"/>
      <c r="P15" s="1379">
        <f t="shared" si="2"/>
        <v>0</v>
      </c>
      <c r="Q15" s="1383"/>
      <c r="R15" s="1383"/>
      <c r="S15" s="1383"/>
      <c r="T15" s="1383"/>
      <c r="U15" s="1383"/>
      <c r="V15" s="1383"/>
      <c r="W15" s="1383"/>
      <c r="X15" s="1383"/>
      <c r="Y15" s="1383"/>
      <c r="Z15" s="1383"/>
      <c r="AA15" s="1383"/>
      <c r="AB15" s="1383"/>
      <c r="AC15" s="1383"/>
      <c r="AD15" s="1384">
        <f t="shared" si="4"/>
        <v>0</v>
      </c>
      <c r="AE15" s="1378"/>
      <c r="AF15" s="1423">
        <v>0</v>
      </c>
      <c r="AG15" s="1378"/>
      <c r="AH15" s="1385">
        <f t="shared" si="5"/>
        <v>0</v>
      </c>
      <c r="AI15" s="1378"/>
      <c r="AJ15" s="1386">
        <f t="shared" si="6"/>
        <v>0</v>
      </c>
      <c r="AK15" s="1378"/>
      <c r="AL15" s="1439"/>
      <c r="AM15" s="1378"/>
      <c r="AN15" s="1439"/>
      <c r="AO15" s="1377"/>
      <c r="AP15" s="1377"/>
    </row>
    <row r="16" spans="1:42">
      <c r="A16" s="1378" t="s">
        <v>315</v>
      </c>
      <c r="B16" s="1378"/>
      <c r="C16" s="1433"/>
      <c r="D16" s="1381"/>
      <c r="E16" s="1387"/>
      <c r="F16" s="1390">
        <v>0</v>
      </c>
      <c r="G16" s="1387"/>
      <c r="H16" s="1388">
        <f t="shared" si="0"/>
        <v>0</v>
      </c>
      <c r="I16" s="1389"/>
      <c r="J16" s="1390"/>
      <c r="K16" s="1389"/>
      <c r="L16" s="1370">
        <f t="shared" si="1"/>
        <v>0</v>
      </c>
      <c r="M16" s="1391"/>
      <c r="N16" s="1436"/>
      <c r="O16" s="1389"/>
      <c r="P16" s="1388">
        <f t="shared" si="2"/>
        <v>0</v>
      </c>
      <c r="Q16" s="1392"/>
      <c r="R16" s="1392"/>
      <c r="S16" s="1392"/>
      <c r="T16" s="1392"/>
      <c r="U16" s="1392"/>
      <c r="V16" s="1392"/>
      <c r="W16" s="1392"/>
      <c r="X16" s="1392"/>
      <c r="Y16" s="1392"/>
      <c r="Z16" s="1392"/>
      <c r="AA16" s="1392"/>
      <c r="AB16" s="1392"/>
      <c r="AC16" s="1392"/>
      <c r="AD16" s="1393">
        <f t="shared" si="4"/>
        <v>0</v>
      </c>
      <c r="AE16" s="1389"/>
      <c r="AF16" s="1437">
        <v>0</v>
      </c>
      <c r="AG16" s="1389"/>
      <c r="AH16" s="1394">
        <f t="shared" si="5"/>
        <v>0</v>
      </c>
      <c r="AI16" s="1389"/>
      <c r="AJ16" s="1395">
        <f t="shared" si="6"/>
        <v>0</v>
      </c>
      <c r="AK16" s="1389"/>
      <c r="AL16" s="1440"/>
      <c r="AM16" s="1396"/>
      <c r="AN16" s="1441"/>
      <c r="AO16" s="1377"/>
      <c r="AP16" s="1377"/>
    </row>
    <row r="17" spans="1:42" ht="15" customHeight="1">
      <c r="A17" s="1397">
        <v>2</v>
      </c>
      <c r="D17" s="1397"/>
      <c r="E17" s="1761" t="s">
        <v>979</v>
      </c>
      <c r="F17" s="1761"/>
      <c r="G17" s="1761"/>
      <c r="H17" s="1761"/>
      <c r="I17" s="1761"/>
      <c r="J17" s="1761"/>
      <c r="K17" s="1761"/>
      <c r="L17" s="1761"/>
      <c r="M17" s="1761"/>
      <c r="N17" s="1761"/>
      <c r="O17" s="1761"/>
      <c r="P17" s="1398">
        <f>SUM(P7:P16)</f>
        <v>1934455.8834736845</v>
      </c>
      <c r="S17" s="1399" t="s">
        <v>980</v>
      </c>
      <c r="T17" s="1399"/>
      <c r="U17" s="1399"/>
      <c r="V17" s="1399"/>
      <c r="W17" s="1399"/>
      <c r="X17" s="1399"/>
      <c r="Y17" s="1399"/>
      <c r="Z17" s="1399"/>
      <c r="AA17" s="1399"/>
      <c r="AD17" s="1442" t="s">
        <v>1052</v>
      </c>
      <c r="AE17" s="1442"/>
      <c r="AF17" s="1442"/>
      <c r="AG17" s="1442"/>
      <c r="AH17" s="1442"/>
      <c r="AI17" s="1442"/>
      <c r="AJ17" s="1400">
        <f>SUM(AJ7:AJ16)</f>
        <v>6770189.4336477723</v>
      </c>
      <c r="AK17" s="1401"/>
      <c r="AL17" s="1402"/>
      <c r="AM17" s="1377"/>
      <c r="AN17" s="1377"/>
      <c r="AO17" s="1377"/>
      <c r="AP17" s="1377"/>
    </row>
    <row r="19" spans="1:42">
      <c r="C19" s="1377" t="s">
        <v>981</v>
      </c>
      <c r="Q19" s="1399"/>
      <c r="R19" s="1399"/>
      <c r="S19" s="1399"/>
      <c r="T19" s="1377"/>
      <c r="U19" s="1377"/>
      <c r="V19" s="1377"/>
      <c r="W19" s="1377"/>
      <c r="X19" s="1377"/>
      <c r="Y19" s="1377"/>
      <c r="Z19" s="1377"/>
      <c r="AA19" s="1377"/>
      <c r="AB19" s="1377"/>
      <c r="AC19" s="1399"/>
      <c r="AF19" s="1377"/>
      <c r="AG19" s="1377" t="s">
        <v>878</v>
      </c>
      <c r="AH19" s="1402"/>
      <c r="AI19" s="1377"/>
      <c r="AK19" s="1377"/>
      <c r="AM19" s="1377"/>
      <c r="AN19" s="1377"/>
      <c r="AO19" s="1377"/>
      <c r="AP19" s="1377"/>
    </row>
    <row r="20" spans="1:42" ht="11.25" customHeight="1">
      <c r="A20" s="1407"/>
      <c r="B20" s="1407" t="s">
        <v>9</v>
      </c>
      <c r="C20" s="1762" t="s">
        <v>1053</v>
      </c>
      <c r="D20" s="1762"/>
      <c r="E20" s="1762"/>
      <c r="F20" s="1762"/>
      <c r="G20" s="1762"/>
      <c r="H20" s="1762"/>
      <c r="I20" s="1762"/>
      <c r="J20" s="1762"/>
      <c r="K20" s="1762"/>
      <c r="L20" s="1408"/>
      <c r="M20" s="1408"/>
      <c r="N20" s="1408"/>
      <c r="O20" s="1408"/>
      <c r="P20" s="1408"/>
      <c r="Q20" s="1409"/>
      <c r="R20" s="1409"/>
      <c r="S20" s="1409"/>
      <c r="T20" s="1410"/>
      <c r="U20" s="1410"/>
      <c r="V20" s="1410"/>
      <c r="W20" s="1410"/>
      <c r="X20" s="1410"/>
      <c r="Y20" s="1410"/>
      <c r="Z20" s="1410"/>
      <c r="AA20" s="1410"/>
      <c r="AB20" s="1410"/>
      <c r="AC20" s="1410"/>
      <c r="AF20" s="1411" t="s">
        <v>11</v>
      </c>
      <c r="AG20" s="1412" t="s">
        <v>982</v>
      </c>
      <c r="AH20" s="1411"/>
      <c r="AI20" s="1410"/>
      <c r="AJ20" s="1410"/>
      <c r="AK20" s="1410"/>
      <c r="AL20" s="1410"/>
      <c r="AM20" s="1410"/>
      <c r="AN20" s="1377"/>
      <c r="AO20" s="1377"/>
      <c r="AP20" s="1377"/>
    </row>
    <row r="21" spans="1:42">
      <c r="A21" s="1407"/>
      <c r="B21" s="1407"/>
      <c r="C21" s="1762"/>
      <c r="D21" s="1762"/>
      <c r="E21" s="1762"/>
      <c r="F21" s="1762"/>
      <c r="G21" s="1762"/>
      <c r="H21" s="1762"/>
      <c r="I21" s="1762"/>
      <c r="J21" s="1762"/>
      <c r="K21" s="1762"/>
      <c r="L21" s="1408"/>
      <c r="M21" s="1408"/>
      <c r="N21" s="1408"/>
      <c r="O21" s="1408"/>
      <c r="P21" s="1408"/>
      <c r="Q21" s="1410"/>
      <c r="R21" s="1410"/>
      <c r="S21" s="1410"/>
      <c r="T21" s="1410"/>
      <c r="U21" s="1410"/>
      <c r="V21" s="1410"/>
      <c r="W21" s="1410"/>
      <c r="X21" s="1410"/>
      <c r="Y21" s="1410"/>
      <c r="Z21" s="1410"/>
      <c r="AA21" s="1410"/>
      <c r="AB21" s="1410"/>
      <c r="AC21" s="1410"/>
      <c r="AF21" s="1411" t="s">
        <v>12</v>
      </c>
      <c r="AG21" s="1377" t="s">
        <v>983</v>
      </c>
      <c r="AH21" s="1411"/>
      <c r="AI21" s="1377"/>
      <c r="AK21" s="1410"/>
      <c r="AL21" s="1410"/>
      <c r="AM21" s="1410"/>
      <c r="AN21" s="1377"/>
      <c r="AO21" s="1377"/>
      <c r="AP21" s="1377"/>
    </row>
    <row r="22" spans="1:42" ht="11.25" customHeight="1">
      <c r="A22" s="1407"/>
      <c r="B22" s="1407"/>
      <c r="C22" s="1762"/>
      <c r="D22" s="1762"/>
      <c r="E22" s="1762"/>
      <c r="F22" s="1762"/>
      <c r="G22" s="1762"/>
      <c r="H22" s="1762"/>
      <c r="I22" s="1762"/>
      <c r="J22" s="1762"/>
      <c r="K22" s="1408"/>
      <c r="L22" s="1408"/>
      <c r="M22" s="1408"/>
      <c r="N22" s="1408"/>
      <c r="O22" s="1408"/>
      <c r="P22" s="1408"/>
      <c r="Q22" s="1377"/>
      <c r="R22" s="1377"/>
      <c r="S22" s="1377"/>
      <c r="T22" s="1377"/>
      <c r="U22" s="1377"/>
      <c r="V22" s="1377"/>
      <c r="W22" s="1377"/>
      <c r="X22" s="1377"/>
      <c r="Y22" s="1377"/>
      <c r="Z22" s="1377"/>
      <c r="AA22" s="1377"/>
      <c r="AB22" s="1377"/>
      <c r="AC22" s="1377"/>
      <c r="AD22" s="1377"/>
      <c r="AE22" s="1377"/>
      <c r="AF22" s="1377"/>
      <c r="AG22" s="1377"/>
      <c r="AI22" s="1377"/>
      <c r="AK22" s="1377"/>
      <c r="AM22" s="1377"/>
      <c r="AN22" s="1377"/>
      <c r="AO22" s="1377"/>
      <c r="AP22" s="1377"/>
    </row>
    <row r="23" spans="1:42">
      <c r="A23" s="1407"/>
      <c r="B23" s="1407"/>
      <c r="C23" s="1762"/>
      <c r="D23" s="1762"/>
      <c r="E23" s="1762"/>
      <c r="F23" s="1762"/>
      <c r="G23" s="1762"/>
      <c r="H23" s="1762"/>
      <c r="I23" s="1762"/>
      <c r="J23" s="1762"/>
      <c r="K23" s="1408"/>
      <c r="L23" s="1408"/>
      <c r="M23" s="1408"/>
      <c r="N23" s="1408"/>
      <c r="O23" s="1408"/>
      <c r="P23" s="1408"/>
      <c r="Q23" s="1377"/>
      <c r="R23" s="1377"/>
      <c r="S23" s="1377"/>
      <c r="T23" s="1377"/>
      <c r="U23" s="1377"/>
      <c r="V23" s="1377"/>
      <c r="W23" s="1377"/>
      <c r="X23" s="1377"/>
      <c r="Y23" s="1377"/>
      <c r="Z23" s="1377"/>
      <c r="AA23" s="1377"/>
      <c r="AB23" s="1377"/>
      <c r="AC23" s="1377"/>
      <c r="AD23" s="1377"/>
      <c r="AE23" s="1377"/>
      <c r="AF23" s="1377"/>
      <c r="AG23" s="1377"/>
      <c r="AI23" s="1377"/>
      <c r="AK23" s="1377"/>
      <c r="AM23" s="1377"/>
      <c r="AN23" s="1377"/>
      <c r="AO23" s="1377"/>
      <c r="AP23" s="1377"/>
    </row>
    <row r="24" spans="1:42">
      <c r="A24" s="1407"/>
      <c r="B24" s="1407"/>
      <c r="C24" s="1762"/>
      <c r="D24" s="1762"/>
      <c r="E24" s="1762"/>
      <c r="F24" s="1762"/>
      <c r="G24" s="1762"/>
      <c r="H24" s="1762"/>
      <c r="I24" s="1762"/>
      <c r="J24" s="1762"/>
      <c r="M24" s="1410"/>
      <c r="Q24" s="1377"/>
      <c r="R24" s="1377"/>
      <c r="S24" s="1377"/>
      <c r="T24" s="1377"/>
      <c r="U24" s="1377"/>
      <c r="V24" s="1377"/>
      <c r="W24" s="1377"/>
      <c r="X24" s="1377"/>
      <c r="Y24" s="1377"/>
      <c r="Z24" s="1377"/>
      <c r="AA24" s="1377"/>
      <c r="AB24" s="1377"/>
      <c r="AC24" s="1377"/>
      <c r="AD24" s="1377"/>
      <c r="AE24" s="1377"/>
      <c r="AF24" s="1377"/>
      <c r="AG24" s="1377"/>
      <c r="AI24" s="1377"/>
      <c r="AK24" s="1377"/>
      <c r="AM24" s="1377"/>
      <c r="AN24" s="1377"/>
      <c r="AO24" s="1377"/>
      <c r="AP24" s="1377"/>
    </row>
    <row r="25" spans="1:42">
      <c r="A25" s="1407"/>
      <c r="B25" s="1407"/>
      <c r="Q25" s="1377"/>
      <c r="R25" s="1377"/>
      <c r="S25" s="1377"/>
      <c r="T25" s="1377"/>
      <c r="U25" s="1377"/>
      <c r="V25" s="1377"/>
      <c r="W25" s="1377"/>
      <c r="X25" s="1377"/>
      <c r="Y25" s="1377"/>
      <c r="Z25" s="1377"/>
      <c r="AA25" s="1377"/>
      <c r="AB25" s="1377"/>
      <c r="AC25" s="1377"/>
      <c r="AD25" s="1377"/>
      <c r="AE25" s="1377"/>
      <c r="AF25" s="1377"/>
      <c r="AG25" s="1377"/>
      <c r="AI25" s="1377"/>
      <c r="AK25" s="1377"/>
      <c r="AM25" s="1377"/>
      <c r="AN25" s="1377"/>
      <c r="AO25" s="1377"/>
      <c r="AP25" s="1377"/>
    </row>
    <row r="26" spans="1:42">
      <c r="A26" s="1407"/>
      <c r="B26" s="1407"/>
      <c r="Q26" s="1377"/>
      <c r="R26" s="1377"/>
      <c r="S26" s="1377"/>
      <c r="T26" s="1377"/>
      <c r="U26" s="1377"/>
      <c r="V26" s="1377"/>
      <c r="W26" s="1377"/>
      <c r="X26" s="1377"/>
      <c r="Y26" s="1377"/>
      <c r="Z26" s="1377"/>
      <c r="AA26" s="1377"/>
      <c r="AB26" s="1377"/>
      <c r="AC26" s="1377"/>
      <c r="AD26" s="1377"/>
      <c r="AE26" s="1377"/>
      <c r="AF26" s="1377"/>
      <c r="AG26" s="1377"/>
      <c r="AI26" s="1377"/>
      <c r="AK26" s="1377"/>
      <c r="AM26" s="1377"/>
      <c r="AN26" s="1377"/>
      <c r="AO26" s="1377"/>
      <c r="AP26" s="1377"/>
    </row>
    <row r="27" spans="1:42">
      <c r="A27" s="1407"/>
      <c r="B27" s="1407"/>
      <c r="Q27" s="1377"/>
      <c r="R27" s="1377"/>
      <c r="S27" s="1377"/>
      <c r="T27" s="1377"/>
      <c r="U27" s="1377"/>
      <c r="V27" s="1377"/>
      <c r="W27" s="1377"/>
      <c r="X27" s="1377"/>
      <c r="Y27" s="1377"/>
      <c r="Z27" s="1377"/>
      <c r="AA27" s="1377"/>
      <c r="AB27" s="1377"/>
      <c r="AC27" s="1377"/>
      <c r="AD27" s="1377"/>
      <c r="AE27" s="1377"/>
      <c r="AF27" s="1377"/>
      <c r="AG27" s="1377"/>
      <c r="AI27" s="1377"/>
      <c r="AK27" s="1377"/>
      <c r="AM27" s="1377"/>
      <c r="AN27" s="1377"/>
      <c r="AO27" s="1377"/>
      <c r="AP27" s="1377"/>
    </row>
    <row r="28" spans="1:42">
      <c r="A28" s="1407"/>
      <c r="B28" s="1407"/>
      <c r="Q28" s="1377"/>
      <c r="R28" s="1377"/>
      <c r="S28" s="1377"/>
      <c r="T28" s="1377"/>
      <c r="U28" s="1377"/>
      <c r="V28" s="1377"/>
      <c r="W28" s="1377"/>
      <c r="X28" s="1377"/>
      <c r="Y28" s="1377"/>
      <c r="Z28" s="1377"/>
      <c r="AA28" s="1377"/>
      <c r="AB28" s="1377"/>
      <c r="AC28" s="1377"/>
      <c r="AD28" s="1377"/>
      <c r="AE28" s="1377"/>
      <c r="AF28" s="1377"/>
      <c r="AG28" s="1377"/>
      <c r="AI28" s="1377"/>
      <c r="AK28" s="1377"/>
      <c r="AM28" s="1377"/>
      <c r="AN28" s="1377"/>
      <c r="AO28" s="1377"/>
      <c r="AP28" s="1377"/>
    </row>
    <row r="29" spans="1:42">
      <c r="A29" s="1407"/>
      <c r="B29" s="1407"/>
      <c r="Q29" s="1377"/>
      <c r="R29" s="1377"/>
      <c r="S29" s="1377"/>
      <c r="T29" s="1377"/>
      <c r="U29" s="1377"/>
      <c r="V29" s="1377"/>
      <c r="W29" s="1377"/>
      <c r="X29" s="1377"/>
      <c r="Y29" s="1377"/>
      <c r="Z29" s="1377"/>
      <c r="AA29" s="1377"/>
      <c r="AB29" s="1377"/>
      <c r="AC29" s="1377"/>
      <c r="AD29" s="1377"/>
      <c r="AE29" s="1377"/>
      <c r="AM29" s="1377"/>
      <c r="AN29" s="1377"/>
      <c r="AO29" s="1377"/>
      <c r="AP29" s="1377"/>
    </row>
    <row r="30" spans="1:42">
      <c r="A30" s="1407"/>
      <c r="B30" s="1407"/>
      <c r="Q30" s="1377"/>
      <c r="R30" s="1377"/>
      <c r="S30" s="1377"/>
      <c r="T30" s="1377"/>
      <c r="U30" s="1377"/>
      <c r="V30" s="1377"/>
      <c r="W30" s="1377"/>
      <c r="X30" s="1377"/>
      <c r="Y30" s="1377"/>
      <c r="Z30" s="1377"/>
      <c r="AA30" s="1377"/>
      <c r="AB30" s="1377"/>
      <c r="AC30" s="1377"/>
      <c r="AD30" s="1377"/>
      <c r="AE30" s="1377"/>
      <c r="AM30" s="1377"/>
      <c r="AN30" s="1377"/>
      <c r="AO30" s="1377"/>
      <c r="AP30" s="1377"/>
    </row>
    <row r="31" spans="1:42">
      <c r="B31" s="1407"/>
    </row>
  </sheetData>
  <mergeCells count="30">
    <mergeCell ref="C20:K21"/>
    <mergeCell ref="C22:J24"/>
    <mergeCell ref="AK5:AK6"/>
    <mergeCell ref="AL5:AL6"/>
    <mergeCell ref="AM5:AM6"/>
    <mergeCell ref="H5:H6"/>
    <mergeCell ref="I5:I6"/>
    <mergeCell ref="J5:J6"/>
    <mergeCell ref="K5:K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A5:A6"/>
    <mergeCell ref="B5:B6"/>
    <mergeCell ref="C5:C6"/>
    <mergeCell ref="D5:D6"/>
    <mergeCell ref="E5:E6"/>
  </mergeCells>
  <pageMargins left="0.7" right="0.7" top="0.75" bottom="0.75" header="0.3" footer="0.3"/>
  <pageSetup scale="97"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Z43"/>
  <sheetViews>
    <sheetView view="pageBreakPreview" zoomScaleNormal="100" zoomScaleSheetLayoutView="100" workbookViewId="0">
      <selection activeCell="S2" sqref="S2"/>
    </sheetView>
  </sheetViews>
  <sheetFormatPr defaultColWidth="7.109375" defaultRowHeight="11.25"/>
  <cols>
    <col min="1" max="1" width="2.5546875" style="1397" customWidth="1"/>
    <col min="2" max="2" width="7.6640625" style="1424" customWidth="1"/>
    <col min="3" max="3" width="32.21875" style="1424" customWidth="1"/>
    <col min="4" max="4" width="7.44140625" style="1424" customWidth="1"/>
    <col min="5" max="16" width="7.44140625" style="1403" customWidth="1"/>
    <col min="17" max="17" width="8.44140625" style="1403" customWidth="1"/>
    <col min="18" max="18" width="1.44140625" style="1403" customWidth="1"/>
    <col min="19" max="19" width="10" style="1403" customWidth="1"/>
    <col min="20" max="20" width="1.44140625" style="1403" customWidth="1"/>
    <col min="21" max="21" width="9.77734375" style="1403" customWidth="1"/>
    <col min="22" max="22" width="1.44140625" style="1397" customWidth="1"/>
    <col min="23" max="23" width="7.44140625" style="1377" customWidth="1"/>
    <col min="24" max="16384" width="7.109375" style="1377"/>
  </cols>
  <sheetData>
    <row r="1" spans="1:23" ht="15">
      <c r="A1" s="1254" t="s">
        <v>1069</v>
      </c>
      <c r="L1" s="1254" t="s">
        <v>1069</v>
      </c>
    </row>
    <row r="2" spans="1:23" ht="15.75">
      <c r="A2" s="1254" t="s">
        <v>1067</v>
      </c>
      <c r="L2" s="1254" t="s">
        <v>1067</v>
      </c>
    </row>
    <row r="4" spans="1:23" s="1360" customFormat="1">
      <c r="B4" s="1413" t="s">
        <v>459</v>
      </c>
      <c r="C4" s="1361" t="s">
        <v>591</v>
      </c>
      <c r="D4" s="1362" t="s">
        <v>839</v>
      </c>
      <c r="E4" s="1362" t="s">
        <v>589</v>
      </c>
      <c r="F4" s="1362" t="s">
        <v>840</v>
      </c>
      <c r="G4" s="1362" t="s">
        <v>587</v>
      </c>
      <c r="H4" s="1362" t="s">
        <v>586</v>
      </c>
      <c r="I4" s="1362" t="s">
        <v>585</v>
      </c>
      <c r="J4" s="1362" t="s">
        <v>848</v>
      </c>
      <c r="K4" s="1362" t="s">
        <v>849</v>
      </c>
      <c r="L4" s="1362" t="s">
        <v>850</v>
      </c>
      <c r="M4" s="1362" t="s">
        <v>851</v>
      </c>
      <c r="N4" s="1362" t="s">
        <v>852</v>
      </c>
      <c r="O4" s="1362" t="s">
        <v>853</v>
      </c>
      <c r="P4" s="1362" t="s">
        <v>854</v>
      </c>
      <c r="Q4" s="1361" t="s">
        <v>855</v>
      </c>
      <c r="S4" s="1360" t="s">
        <v>856</v>
      </c>
      <c r="U4" s="1360" t="s">
        <v>857</v>
      </c>
      <c r="W4" s="1360" t="s">
        <v>858</v>
      </c>
    </row>
    <row r="5" spans="1:23" s="1367" customFormat="1" ht="36.75" customHeight="1">
      <c r="A5" s="1760" t="s">
        <v>16</v>
      </c>
      <c r="B5" s="1760" t="s">
        <v>984</v>
      </c>
      <c r="C5" s="1763" t="s">
        <v>985</v>
      </c>
      <c r="D5" s="1414" t="s">
        <v>864</v>
      </c>
      <c r="E5" s="1366" t="s">
        <v>865</v>
      </c>
      <c r="F5" s="1366" t="s">
        <v>866</v>
      </c>
      <c r="G5" s="1366" t="s">
        <v>867</v>
      </c>
      <c r="H5" s="1366" t="s">
        <v>868</v>
      </c>
      <c r="I5" s="1366" t="s">
        <v>869</v>
      </c>
      <c r="J5" s="1366" t="s">
        <v>868</v>
      </c>
      <c r="K5" s="1366" t="s">
        <v>870</v>
      </c>
      <c r="L5" s="1366" t="s">
        <v>871</v>
      </c>
      <c r="M5" s="1366" t="s">
        <v>872</v>
      </c>
      <c r="N5" s="1366" t="s">
        <v>873</v>
      </c>
      <c r="O5" s="1366" t="s">
        <v>874</v>
      </c>
      <c r="P5" s="1366" t="s">
        <v>864</v>
      </c>
      <c r="Q5" s="1760" t="s">
        <v>986</v>
      </c>
      <c r="R5" s="1760" t="s">
        <v>845</v>
      </c>
      <c r="S5" s="1760" t="s">
        <v>987</v>
      </c>
      <c r="T5" s="1760" t="s">
        <v>845</v>
      </c>
      <c r="U5" s="1760" t="s">
        <v>988</v>
      </c>
      <c r="V5" s="1760" t="s">
        <v>65</v>
      </c>
      <c r="W5" s="1760" t="s">
        <v>989</v>
      </c>
    </row>
    <row r="6" spans="1:23" s="1367" customFormat="1">
      <c r="A6" s="1760"/>
      <c r="B6" s="1760"/>
      <c r="C6" s="1764"/>
      <c r="D6" s="1415" t="s">
        <v>1078</v>
      </c>
      <c r="E6" s="1368" t="s">
        <v>1081</v>
      </c>
      <c r="F6" s="1368" t="s">
        <v>1081</v>
      </c>
      <c r="G6" s="1368" t="s">
        <v>1081</v>
      </c>
      <c r="H6" s="1368" t="s">
        <v>1081</v>
      </c>
      <c r="I6" s="1368" t="s">
        <v>1081</v>
      </c>
      <c r="J6" s="1368" t="s">
        <v>1081</v>
      </c>
      <c r="K6" s="1368" t="s">
        <v>1081</v>
      </c>
      <c r="L6" s="1368" t="s">
        <v>1081</v>
      </c>
      <c r="M6" s="1368" t="s">
        <v>1081</v>
      </c>
      <c r="N6" s="1368" t="s">
        <v>1081</v>
      </c>
      <c r="O6" s="1368" t="s">
        <v>1081</v>
      </c>
      <c r="P6" s="1368" t="s">
        <v>1081</v>
      </c>
      <c r="Q6" s="1760"/>
      <c r="R6" s="1760"/>
      <c r="S6" s="1760"/>
      <c r="T6" s="1760"/>
      <c r="U6" s="1760"/>
      <c r="V6" s="1760"/>
      <c r="W6" s="1760"/>
    </row>
    <row r="7" spans="1:23">
      <c r="A7" s="1397" t="s">
        <v>312</v>
      </c>
      <c r="B7" s="1416"/>
      <c r="C7" s="1417"/>
      <c r="D7" s="1417"/>
      <c r="E7" s="1417"/>
      <c r="F7" s="1417"/>
      <c r="G7" s="1417"/>
      <c r="H7" s="1417"/>
      <c r="I7" s="1417"/>
      <c r="J7" s="1417"/>
      <c r="K7" s="1417"/>
      <c r="L7" s="1417"/>
      <c r="M7" s="1417"/>
      <c r="N7" s="1417"/>
      <c r="O7" s="1417"/>
      <c r="P7" s="1417"/>
      <c r="Q7" s="1418">
        <f t="shared" ref="Q7:Q31" si="0">IFERROR(SUM(D7:P7)/13,0)</f>
        <v>0</v>
      </c>
      <c r="R7" s="1418"/>
      <c r="S7" s="1419">
        <v>1</v>
      </c>
      <c r="T7" s="1418"/>
      <c r="U7" s="1419">
        <v>1</v>
      </c>
      <c r="V7" s="1420"/>
      <c r="W7" s="1421">
        <f>Q7*S7*U7</f>
        <v>0</v>
      </c>
    </row>
    <row r="8" spans="1:23">
      <c r="A8" s="1397" t="s">
        <v>879</v>
      </c>
      <c r="B8" s="1422"/>
      <c r="C8" s="1381"/>
      <c r="D8" s="1381"/>
      <c r="E8" s="1381"/>
      <c r="F8" s="1381"/>
      <c r="G8" s="1381"/>
      <c r="H8" s="1381"/>
      <c r="I8" s="1381"/>
      <c r="J8" s="1381"/>
      <c r="K8" s="1381"/>
      <c r="L8" s="1381"/>
      <c r="M8" s="1381"/>
      <c r="N8" s="1381"/>
      <c r="O8" s="1381"/>
      <c r="P8" s="1381"/>
      <c r="Q8" s="1379">
        <f t="shared" si="0"/>
        <v>0</v>
      </c>
      <c r="R8" s="1379"/>
      <c r="S8" s="1423"/>
      <c r="T8" s="1379"/>
      <c r="U8" s="1423"/>
      <c r="V8" s="1378"/>
      <c r="W8" s="1421">
        <f t="shared" ref="W8:W31" si="1">Q8*S8*U8</f>
        <v>0</v>
      </c>
    </row>
    <row r="9" spans="1:23">
      <c r="A9" s="1397" t="s">
        <v>880</v>
      </c>
      <c r="B9" s="1422"/>
      <c r="C9" s="1381"/>
      <c r="D9" s="1381"/>
      <c r="E9" s="1381"/>
      <c r="F9" s="1381"/>
      <c r="G9" s="1381"/>
      <c r="H9" s="1381"/>
      <c r="I9" s="1381"/>
      <c r="J9" s="1381"/>
      <c r="K9" s="1381"/>
      <c r="L9" s="1381"/>
      <c r="M9" s="1381"/>
      <c r="N9" s="1381"/>
      <c r="O9" s="1381"/>
      <c r="P9" s="1381"/>
      <c r="Q9" s="1379">
        <f t="shared" si="0"/>
        <v>0</v>
      </c>
      <c r="R9" s="1379"/>
      <c r="S9" s="1423"/>
      <c r="T9" s="1379"/>
      <c r="U9" s="1423"/>
      <c r="V9" s="1378"/>
      <c r="W9" s="1421">
        <f t="shared" si="1"/>
        <v>0</v>
      </c>
    </row>
    <row r="10" spans="1:23">
      <c r="A10" s="1397" t="s">
        <v>380</v>
      </c>
      <c r="B10" s="1422"/>
      <c r="C10" s="1381"/>
      <c r="D10" s="1381"/>
      <c r="E10" s="1381"/>
      <c r="F10" s="1381"/>
      <c r="G10" s="1381"/>
      <c r="H10" s="1381"/>
      <c r="I10" s="1381"/>
      <c r="J10" s="1381"/>
      <c r="K10" s="1381"/>
      <c r="L10" s="1381"/>
      <c r="M10" s="1381"/>
      <c r="N10" s="1381"/>
      <c r="O10" s="1381"/>
      <c r="P10" s="1381"/>
      <c r="Q10" s="1379">
        <f t="shared" si="0"/>
        <v>0</v>
      </c>
      <c r="R10" s="1379"/>
      <c r="S10" s="1423"/>
      <c r="T10" s="1379"/>
      <c r="U10" s="1423"/>
      <c r="V10" s="1378"/>
      <c r="W10" s="1421">
        <f t="shared" si="1"/>
        <v>0</v>
      </c>
    </row>
    <row r="11" spans="1:23">
      <c r="A11" s="1397" t="s">
        <v>380</v>
      </c>
      <c r="B11" s="1422"/>
      <c r="C11" s="1381"/>
      <c r="D11" s="1381"/>
      <c r="E11" s="1381"/>
      <c r="F11" s="1381"/>
      <c r="G11" s="1381"/>
      <c r="H11" s="1381"/>
      <c r="I11" s="1381"/>
      <c r="J11" s="1381"/>
      <c r="K11" s="1381"/>
      <c r="L11" s="1381"/>
      <c r="M11" s="1381"/>
      <c r="N11" s="1381"/>
      <c r="O11" s="1381"/>
      <c r="P11" s="1381"/>
      <c r="Q11" s="1379">
        <f t="shared" si="0"/>
        <v>0</v>
      </c>
      <c r="R11" s="1379"/>
      <c r="S11" s="1423"/>
      <c r="T11" s="1379"/>
      <c r="U11" s="1423"/>
      <c r="V11" s="1378"/>
      <c r="W11" s="1421">
        <f t="shared" si="1"/>
        <v>0</v>
      </c>
    </row>
    <row r="12" spans="1:23">
      <c r="A12" s="1397" t="s">
        <v>380</v>
      </c>
      <c r="B12" s="1422"/>
      <c r="C12" s="1381"/>
      <c r="D12" s="1381"/>
      <c r="E12" s="1381"/>
      <c r="F12" s="1381"/>
      <c r="G12" s="1381"/>
      <c r="H12" s="1381"/>
      <c r="I12" s="1381"/>
      <c r="J12" s="1381"/>
      <c r="K12" s="1381"/>
      <c r="L12" s="1381"/>
      <c r="M12" s="1381"/>
      <c r="N12" s="1381"/>
      <c r="O12" s="1381"/>
      <c r="P12" s="1381"/>
      <c r="Q12" s="1379">
        <f t="shared" si="0"/>
        <v>0</v>
      </c>
      <c r="R12" s="1379"/>
      <c r="S12" s="1423"/>
      <c r="T12" s="1379"/>
      <c r="U12" s="1423"/>
      <c r="V12" s="1378"/>
      <c r="W12" s="1421">
        <f t="shared" si="1"/>
        <v>0</v>
      </c>
    </row>
    <row r="13" spans="1:23">
      <c r="A13" s="1397" t="s">
        <v>380</v>
      </c>
      <c r="B13" s="1422"/>
      <c r="C13" s="1381"/>
      <c r="D13" s="1381"/>
      <c r="E13" s="1381"/>
      <c r="F13" s="1381"/>
      <c r="G13" s="1381"/>
      <c r="H13" s="1381"/>
      <c r="I13" s="1381"/>
      <c r="J13" s="1381"/>
      <c r="K13" s="1381"/>
      <c r="L13" s="1381"/>
      <c r="M13" s="1381"/>
      <c r="N13" s="1381"/>
      <c r="O13" s="1381"/>
      <c r="P13" s="1381"/>
      <c r="Q13" s="1379">
        <f t="shared" si="0"/>
        <v>0</v>
      </c>
      <c r="R13" s="1379"/>
      <c r="S13" s="1423"/>
      <c r="T13" s="1379"/>
      <c r="U13" s="1423"/>
      <c r="V13" s="1378"/>
      <c r="W13" s="1421">
        <f t="shared" si="1"/>
        <v>0</v>
      </c>
    </row>
    <row r="14" spans="1:23">
      <c r="A14" s="1397" t="s">
        <v>380</v>
      </c>
      <c r="B14" s="1422"/>
      <c r="C14" s="1381"/>
      <c r="D14" s="1381"/>
      <c r="E14" s="1381"/>
      <c r="F14" s="1381"/>
      <c r="G14" s="1381"/>
      <c r="H14" s="1381"/>
      <c r="I14" s="1381"/>
      <c r="J14" s="1381"/>
      <c r="K14" s="1381"/>
      <c r="L14" s="1381"/>
      <c r="M14" s="1381"/>
      <c r="N14" s="1381"/>
      <c r="O14" s="1381"/>
      <c r="P14" s="1381"/>
      <c r="Q14" s="1379">
        <f t="shared" si="0"/>
        <v>0</v>
      </c>
      <c r="R14" s="1379"/>
      <c r="S14" s="1423"/>
      <c r="T14" s="1379"/>
      <c r="U14" s="1423"/>
      <c r="V14" s="1378"/>
      <c r="W14" s="1421">
        <f t="shared" si="1"/>
        <v>0</v>
      </c>
    </row>
    <row r="15" spans="1:23">
      <c r="A15" s="1397" t="s">
        <v>380</v>
      </c>
      <c r="B15" s="1422"/>
      <c r="C15" s="1381"/>
      <c r="D15" s="1381"/>
      <c r="E15" s="1381"/>
      <c r="F15" s="1381"/>
      <c r="G15" s="1381"/>
      <c r="H15" s="1381"/>
      <c r="I15" s="1381"/>
      <c r="J15" s="1381"/>
      <c r="K15" s="1381"/>
      <c r="L15" s="1381"/>
      <c r="M15" s="1381"/>
      <c r="N15" s="1381"/>
      <c r="O15" s="1381"/>
      <c r="P15" s="1381"/>
      <c r="Q15" s="1379">
        <f t="shared" si="0"/>
        <v>0</v>
      </c>
      <c r="R15" s="1379"/>
      <c r="S15" s="1423"/>
      <c r="T15" s="1379"/>
      <c r="U15" s="1423"/>
      <c r="V15" s="1378"/>
      <c r="W15" s="1421">
        <f t="shared" si="1"/>
        <v>0</v>
      </c>
    </row>
    <row r="16" spans="1:23">
      <c r="A16" s="1397" t="s">
        <v>380</v>
      </c>
      <c r="B16" s="1422"/>
      <c r="C16" s="1381"/>
      <c r="D16" s="1381"/>
      <c r="E16" s="1381"/>
      <c r="F16" s="1381"/>
      <c r="G16" s="1381"/>
      <c r="H16" s="1381"/>
      <c r="I16" s="1381"/>
      <c r="J16" s="1381"/>
      <c r="K16" s="1381"/>
      <c r="L16" s="1381"/>
      <c r="M16" s="1381"/>
      <c r="N16" s="1381"/>
      <c r="O16" s="1381"/>
      <c r="P16" s="1381"/>
      <c r="Q16" s="1379">
        <f t="shared" si="0"/>
        <v>0</v>
      </c>
      <c r="R16" s="1379"/>
      <c r="S16" s="1423"/>
      <c r="T16" s="1379"/>
      <c r="U16" s="1423"/>
      <c r="V16" s="1378"/>
      <c r="W16" s="1421">
        <f t="shared" si="1"/>
        <v>0</v>
      </c>
    </row>
    <row r="17" spans="1:23">
      <c r="A17" s="1397" t="s">
        <v>380</v>
      </c>
      <c r="B17" s="1422"/>
      <c r="C17" s="1381"/>
      <c r="D17" s="1381"/>
      <c r="E17" s="1381"/>
      <c r="F17" s="1381"/>
      <c r="G17" s="1381"/>
      <c r="H17" s="1381"/>
      <c r="I17" s="1381"/>
      <c r="J17" s="1381"/>
      <c r="K17" s="1381"/>
      <c r="L17" s="1381"/>
      <c r="M17" s="1381"/>
      <c r="N17" s="1381"/>
      <c r="O17" s="1381"/>
      <c r="P17" s="1381"/>
      <c r="Q17" s="1379">
        <f t="shared" si="0"/>
        <v>0</v>
      </c>
      <c r="R17" s="1379"/>
      <c r="S17" s="1423"/>
      <c r="T17" s="1379"/>
      <c r="U17" s="1423"/>
      <c r="V17" s="1378"/>
      <c r="W17" s="1421">
        <f t="shared" si="1"/>
        <v>0</v>
      </c>
    </row>
    <row r="18" spans="1:23">
      <c r="A18" s="1397" t="s">
        <v>380</v>
      </c>
      <c r="B18" s="1422"/>
      <c r="C18" s="1381"/>
      <c r="D18" s="1381"/>
      <c r="E18" s="1381"/>
      <c r="F18" s="1381"/>
      <c r="G18" s="1381"/>
      <c r="H18" s="1381"/>
      <c r="I18" s="1381"/>
      <c r="J18" s="1381"/>
      <c r="K18" s="1381"/>
      <c r="L18" s="1381"/>
      <c r="M18" s="1381"/>
      <c r="N18" s="1381"/>
      <c r="O18" s="1381"/>
      <c r="P18" s="1381"/>
      <c r="Q18" s="1379">
        <f t="shared" si="0"/>
        <v>0</v>
      </c>
      <c r="R18" s="1379"/>
      <c r="S18" s="1423"/>
      <c r="T18" s="1379"/>
      <c r="U18" s="1423"/>
      <c r="V18" s="1378"/>
      <c r="W18" s="1421">
        <f t="shared" si="1"/>
        <v>0</v>
      </c>
    </row>
    <row r="19" spans="1:23">
      <c r="A19" s="1397" t="s">
        <v>380</v>
      </c>
      <c r="B19" s="1422"/>
      <c r="C19" s="1381"/>
      <c r="D19" s="1381"/>
      <c r="E19" s="1381"/>
      <c r="F19" s="1381"/>
      <c r="G19" s="1381"/>
      <c r="H19" s="1381"/>
      <c r="I19" s="1381"/>
      <c r="J19" s="1381"/>
      <c r="K19" s="1381"/>
      <c r="L19" s="1381"/>
      <c r="M19" s="1381"/>
      <c r="N19" s="1381"/>
      <c r="O19" s="1381"/>
      <c r="P19" s="1381"/>
      <c r="Q19" s="1379">
        <f t="shared" si="0"/>
        <v>0</v>
      </c>
      <c r="R19" s="1379"/>
      <c r="S19" s="1423"/>
      <c r="T19" s="1379"/>
      <c r="U19" s="1423"/>
      <c r="V19" s="1378"/>
      <c r="W19" s="1421">
        <f t="shared" si="1"/>
        <v>0</v>
      </c>
    </row>
    <row r="20" spans="1:23">
      <c r="A20" s="1397" t="s">
        <v>380</v>
      </c>
      <c r="B20" s="1422"/>
      <c r="C20" s="1381"/>
      <c r="D20" s="1381"/>
      <c r="E20" s="1381"/>
      <c r="F20" s="1381"/>
      <c r="G20" s="1381"/>
      <c r="H20" s="1381"/>
      <c r="I20" s="1381"/>
      <c r="J20" s="1381"/>
      <c r="K20" s="1381"/>
      <c r="L20" s="1381"/>
      <c r="M20" s="1381"/>
      <c r="N20" s="1381"/>
      <c r="O20" s="1381"/>
      <c r="P20" s="1381"/>
      <c r="Q20" s="1379">
        <f t="shared" si="0"/>
        <v>0</v>
      </c>
      <c r="R20" s="1379"/>
      <c r="S20" s="1423"/>
      <c r="T20" s="1379"/>
      <c r="U20" s="1423"/>
      <c r="V20" s="1378"/>
      <c r="W20" s="1421">
        <f t="shared" si="1"/>
        <v>0</v>
      </c>
    </row>
    <row r="21" spans="1:23">
      <c r="A21" s="1397" t="s">
        <v>380</v>
      </c>
      <c r="B21" s="1422"/>
      <c r="C21" s="1381"/>
      <c r="D21" s="1381"/>
      <c r="E21" s="1381"/>
      <c r="F21" s="1381"/>
      <c r="G21" s="1381"/>
      <c r="H21" s="1381"/>
      <c r="I21" s="1381"/>
      <c r="J21" s="1381"/>
      <c r="K21" s="1381"/>
      <c r="L21" s="1381"/>
      <c r="M21" s="1381"/>
      <c r="N21" s="1381"/>
      <c r="O21" s="1381"/>
      <c r="P21" s="1381"/>
      <c r="Q21" s="1379">
        <f t="shared" si="0"/>
        <v>0</v>
      </c>
      <c r="R21" s="1379"/>
      <c r="S21" s="1423"/>
      <c r="T21" s="1379"/>
      <c r="U21" s="1423"/>
      <c r="V21" s="1378"/>
      <c r="W21" s="1421">
        <f t="shared" si="1"/>
        <v>0</v>
      </c>
    </row>
    <row r="22" spans="1:23">
      <c r="A22" s="1397" t="s">
        <v>380</v>
      </c>
      <c r="B22" s="1422"/>
      <c r="C22" s="1381"/>
      <c r="D22" s="1381"/>
      <c r="E22" s="1381"/>
      <c r="F22" s="1381"/>
      <c r="G22" s="1381"/>
      <c r="H22" s="1381"/>
      <c r="I22" s="1381"/>
      <c r="J22" s="1381"/>
      <c r="K22" s="1381"/>
      <c r="L22" s="1381"/>
      <c r="M22" s="1381"/>
      <c r="N22" s="1381"/>
      <c r="O22" s="1381"/>
      <c r="P22" s="1381"/>
      <c r="Q22" s="1379">
        <f t="shared" si="0"/>
        <v>0</v>
      </c>
      <c r="R22" s="1379"/>
      <c r="S22" s="1423"/>
      <c r="T22" s="1379"/>
      <c r="U22" s="1423"/>
      <c r="V22" s="1378"/>
      <c r="W22" s="1421">
        <f t="shared" si="1"/>
        <v>0</v>
      </c>
    </row>
    <row r="23" spans="1:23">
      <c r="A23" s="1397" t="s">
        <v>380</v>
      </c>
      <c r="B23" s="1422"/>
      <c r="C23" s="1381"/>
      <c r="D23" s="1381"/>
      <c r="E23" s="1381"/>
      <c r="F23" s="1381"/>
      <c r="G23" s="1381"/>
      <c r="H23" s="1381"/>
      <c r="I23" s="1381"/>
      <c r="J23" s="1381"/>
      <c r="K23" s="1381"/>
      <c r="L23" s="1381"/>
      <c r="M23" s="1381"/>
      <c r="N23" s="1381"/>
      <c r="O23" s="1381"/>
      <c r="P23" s="1381"/>
      <c r="Q23" s="1379">
        <f t="shared" si="0"/>
        <v>0</v>
      </c>
      <c r="R23" s="1379"/>
      <c r="S23" s="1423"/>
      <c r="T23" s="1379"/>
      <c r="U23" s="1423"/>
      <c r="V23" s="1378"/>
      <c r="W23" s="1421">
        <f t="shared" si="1"/>
        <v>0</v>
      </c>
    </row>
    <row r="24" spans="1:23">
      <c r="A24" s="1397" t="s">
        <v>380</v>
      </c>
      <c r="B24" s="1422"/>
      <c r="C24" s="1381"/>
      <c r="D24" s="1381"/>
      <c r="E24" s="1381"/>
      <c r="F24" s="1381"/>
      <c r="G24" s="1381"/>
      <c r="H24" s="1381"/>
      <c r="I24" s="1381"/>
      <c r="J24" s="1381"/>
      <c r="K24" s="1381"/>
      <c r="L24" s="1381"/>
      <c r="M24" s="1381"/>
      <c r="N24" s="1381"/>
      <c r="O24" s="1381"/>
      <c r="P24" s="1381"/>
      <c r="Q24" s="1379">
        <f t="shared" si="0"/>
        <v>0</v>
      </c>
      <c r="R24" s="1379"/>
      <c r="S24" s="1423"/>
      <c r="T24" s="1379"/>
      <c r="U24" s="1423"/>
      <c r="V24" s="1378"/>
      <c r="W24" s="1421">
        <f t="shared" si="1"/>
        <v>0</v>
      </c>
    </row>
    <row r="25" spans="1:23">
      <c r="A25" s="1397" t="s">
        <v>380</v>
      </c>
      <c r="B25" s="1422"/>
      <c r="C25" s="1381"/>
      <c r="D25" s="1381"/>
      <c r="E25" s="1381"/>
      <c r="F25" s="1381"/>
      <c r="G25" s="1381"/>
      <c r="H25" s="1381"/>
      <c r="I25" s="1381"/>
      <c r="J25" s="1381"/>
      <c r="K25" s="1381"/>
      <c r="L25" s="1381"/>
      <c r="M25" s="1381"/>
      <c r="N25" s="1381"/>
      <c r="O25" s="1381"/>
      <c r="P25" s="1381"/>
      <c r="Q25" s="1379">
        <f t="shared" si="0"/>
        <v>0</v>
      </c>
      <c r="R25" s="1379"/>
      <c r="S25" s="1423"/>
      <c r="T25" s="1379"/>
      <c r="U25" s="1423"/>
      <c r="V25" s="1378"/>
      <c r="W25" s="1421">
        <f t="shared" si="1"/>
        <v>0</v>
      </c>
    </row>
    <row r="26" spans="1:23">
      <c r="A26" s="1397" t="s">
        <v>380</v>
      </c>
      <c r="B26" s="1422"/>
      <c r="C26" s="1381"/>
      <c r="D26" s="1381"/>
      <c r="E26" s="1381"/>
      <c r="F26" s="1381"/>
      <c r="G26" s="1381"/>
      <c r="H26" s="1381"/>
      <c r="I26" s="1381"/>
      <c r="J26" s="1381"/>
      <c r="K26" s="1381"/>
      <c r="L26" s="1381"/>
      <c r="M26" s="1381"/>
      <c r="N26" s="1381"/>
      <c r="O26" s="1381"/>
      <c r="P26" s="1381"/>
      <c r="Q26" s="1379">
        <f t="shared" si="0"/>
        <v>0</v>
      </c>
      <c r="R26" s="1379"/>
      <c r="S26" s="1423"/>
      <c r="T26" s="1379"/>
      <c r="U26" s="1423"/>
      <c r="V26" s="1378"/>
      <c r="W26" s="1421">
        <f t="shared" si="1"/>
        <v>0</v>
      </c>
    </row>
    <row r="27" spans="1:23">
      <c r="A27" s="1397" t="s">
        <v>380</v>
      </c>
      <c r="B27" s="1422"/>
      <c r="C27" s="1381"/>
      <c r="D27" s="1381"/>
      <c r="E27" s="1381"/>
      <c r="F27" s="1381"/>
      <c r="G27" s="1381"/>
      <c r="H27" s="1381"/>
      <c r="I27" s="1381"/>
      <c r="J27" s="1381"/>
      <c r="K27" s="1381"/>
      <c r="L27" s="1381"/>
      <c r="M27" s="1381"/>
      <c r="N27" s="1381"/>
      <c r="O27" s="1381"/>
      <c r="P27" s="1381"/>
      <c r="Q27" s="1379">
        <f t="shared" si="0"/>
        <v>0</v>
      </c>
      <c r="R27" s="1379"/>
      <c r="S27" s="1423"/>
      <c r="T27" s="1379"/>
      <c r="U27" s="1423"/>
      <c r="V27" s="1378"/>
      <c r="W27" s="1421">
        <f t="shared" si="1"/>
        <v>0</v>
      </c>
    </row>
    <row r="28" spans="1:23">
      <c r="A28" s="1397" t="s">
        <v>380</v>
      </c>
      <c r="B28" s="1422"/>
      <c r="C28" s="1381"/>
      <c r="D28" s="1381"/>
      <c r="E28" s="1381"/>
      <c r="F28" s="1381"/>
      <c r="G28" s="1381"/>
      <c r="H28" s="1381"/>
      <c r="I28" s="1381"/>
      <c r="J28" s="1381"/>
      <c r="K28" s="1381"/>
      <c r="L28" s="1381"/>
      <c r="M28" s="1381"/>
      <c r="N28" s="1381"/>
      <c r="O28" s="1381"/>
      <c r="P28" s="1381"/>
      <c r="Q28" s="1379">
        <f t="shared" si="0"/>
        <v>0</v>
      </c>
      <c r="R28" s="1379"/>
      <c r="S28" s="1423"/>
      <c r="T28" s="1379"/>
      <c r="U28" s="1423"/>
      <c r="V28" s="1378"/>
      <c r="W28" s="1421">
        <f t="shared" si="1"/>
        <v>0</v>
      </c>
    </row>
    <row r="29" spans="1:23">
      <c r="A29" s="1397" t="s">
        <v>380</v>
      </c>
      <c r="B29" s="1422"/>
      <c r="C29" s="1381"/>
      <c r="D29" s="1381"/>
      <c r="E29" s="1381"/>
      <c r="F29" s="1381"/>
      <c r="G29" s="1381"/>
      <c r="H29" s="1381"/>
      <c r="I29" s="1381"/>
      <c r="J29" s="1381"/>
      <c r="K29" s="1381"/>
      <c r="L29" s="1381"/>
      <c r="M29" s="1381"/>
      <c r="N29" s="1381"/>
      <c r="O29" s="1381"/>
      <c r="P29" s="1381"/>
      <c r="Q29" s="1379">
        <f t="shared" si="0"/>
        <v>0</v>
      </c>
      <c r="R29" s="1379"/>
      <c r="S29" s="1423"/>
      <c r="T29" s="1379"/>
      <c r="U29" s="1423"/>
      <c r="V29" s="1378"/>
      <c r="W29" s="1421">
        <f t="shared" si="1"/>
        <v>0</v>
      </c>
    </row>
    <row r="30" spans="1:23">
      <c r="A30" s="1397" t="s">
        <v>380</v>
      </c>
      <c r="B30" s="1422"/>
      <c r="C30" s="1381"/>
      <c r="D30" s="1381"/>
      <c r="E30" s="1381"/>
      <c r="F30" s="1381"/>
      <c r="G30" s="1381"/>
      <c r="H30" s="1381"/>
      <c r="I30" s="1381"/>
      <c r="J30" s="1381"/>
      <c r="K30" s="1381"/>
      <c r="L30" s="1381"/>
      <c r="M30" s="1381"/>
      <c r="N30" s="1381"/>
      <c r="O30" s="1381"/>
      <c r="P30" s="1381"/>
      <c r="Q30" s="1379">
        <f t="shared" si="0"/>
        <v>0</v>
      </c>
      <c r="R30" s="1379"/>
      <c r="S30" s="1423"/>
      <c r="T30" s="1379"/>
      <c r="U30" s="1423"/>
      <c r="V30" s="1378"/>
      <c r="W30" s="1421">
        <f t="shared" si="1"/>
        <v>0</v>
      </c>
    </row>
    <row r="31" spans="1:23">
      <c r="A31" s="1397" t="s">
        <v>315</v>
      </c>
      <c r="B31" s="1422"/>
      <c r="C31" s="1381"/>
      <c r="D31" s="1381"/>
      <c r="E31" s="1381"/>
      <c r="F31" s="1381"/>
      <c r="G31" s="1381"/>
      <c r="H31" s="1381"/>
      <c r="I31" s="1381"/>
      <c r="J31" s="1381"/>
      <c r="K31" s="1381"/>
      <c r="L31" s="1381"/>
      <c r="M31" s="1381"/>
      <c r="N31" s="1381"/>
      <c r="O31" s="1381"/>
      <c r="P31" s="1381"/>
      <c r="Q31" s="1379">
        <f t="shared" si="0"/>
        <v>0</v>
      </c>
      <c r="R31" s="1379"/>
      <c r="S31" s="1423"/>
      <c r="T31" s="1379"/>
      <c r="U31" s="1423"/>
      <c r="V31" s="1378"/>
      <c r="W31" s="1421">
        <f t="shared" si="1"/>
        <v>0</v>
      </c>
    </row>
    <row r="32" spans="1:23" ht="15" customHeight="1">
      <c r="A32" s="1397">
        <v>2</v>
      </c>
      <c r="E32" s="1425"/>
      <c r="F32" s="1425"/>
      <c r="G32" s="1425"/>
      <c r="H32" s="1425"/>
      <c r="I32" s="1425"/>
      <c r="J32" s="1425"/>
      <c r="K32" s="1425"/>
      <c r="L32" s="1425"/>
      <c r="M32" s="1425"/>
      <c r="N32" s="1767" t="s">
        <v>990</v>
      </c>
      <c r="O32" s="1767"/>
      <c r="P32" s="1767"/>
      <c r="Q32" s="1426">
        <f>SUM(Q7:Q31)</f>
        <v>0</v>
      </c>
      <c r="R32" s="1387"/>
      <c r="S32" s="1767" t="s">
        <v>991</v>
      </c>
      <c r="T32" s="1767"/>
      <c r="U32" s="1767"/>
      <c r="V32" s="1767"/>
      <c r="W32" s="1427">
        <f>SUM(W7:W31)</f>
        <v>0</v>
      </c>
    </row>
    <row r="33" spans="1:26">
      <c r="A33" s="1377"/>
      <c r="B33" s="1407"/>
      <c r="C33" s="1424" t="s">
        <v>878</v>
      </c>
      <c r="E33" s="1424"/>
      <c r="V33" s="1403"/>
      <c r="W33" s="1405"/>
    </row>
    <row r="34" spans="1:26" ht="12" customHeight="1">
      <c r="A34" s="1377"/>
      <c r="B34" s="1411" t="s">
        <v>9</v>
      </c>
      <c r="C34" s="1765" t="s">
        <v>992</v>
      </c>
      <c r="D34" s="1765"/>
      <c r="E34" s="1765"/>
      <c r="F34" s="1765"/>
      <c r="G34" s="1765"/>
      <c r="H34" s="1765"/>
      <c r="I34" s="1765"/>
      <c r="J34" s="1765"/>
      <c r="K34" s="1428"/>
      <c r="L34" s="1766"/>
      <c r="M34" s="1766"/>
      <c r="N34" s="1766"/>
      <c r="O34" s="1766"/>
      <c r="P34" s="1766"/>
      <c r="Q34" s="1766"/>
      <c r="R34" s="1766"/>
      <c r="S34" s="1766"/>
      <c r="T34" s="1766"/>
      <c r="U34" s="1766"/>
      <c r="V34" s="1766"/>
      <c r="W34" s="1766"/>
      <c r="X34" s="1429"/>
      <c r="Y34" s="1429"/>
    </row>
    <row r="35" spans="1:26" ht="12" customHeight="1">
      <c r="A35" s="1377"/>
      <c r="B35" s="1411"/>
      <c r="C35" s="1765"/>
      <c r="D35" s="1765"/>
      <c r="E35" s="1765"/>
      <c r="F35" s="1765"/>
      <c r="G35" s="1765"/>
      <c r="H35" s="1765"/>
      <c r="I35" s="1765"/>
      <c r="J35" s="1765"/>
      <c r="L35" s="1766"/>
      <c r="M35" s="1766"/>
      <c r="N35" s="1766"/>
      <c r="O35" s="1766"/>
      <c r="P35" s="1766"/>
      <c r="Q35" s="1766"/>
      <c r="R35" s="1766"/>
      <c r="S35" s="1766"/>
      <c r="T35" s="1766"/>
      <c r="U35" s="1766"/>
      <c r="V35" s="1766"/>
      <c r="W35" s="1766"/>
      <c r="X35" s="1429"/>
      <c r="Y35" s="1430"/>
    </row>
    <row r="36" spans="1:26">
      <c r="A36" s="1377"/>
      <c r="B36" s="1411"/>
      <c r="C36" s="1765"/>
      <c r="D36" s="1765"/>
      <c r="E36" s="1765"/>
      <c r="F36" s="1765"/>
      <c r="G36" s="1765"/>
      <c r="H36" s="1765"/>
      <c r="I36" s="1765"/>
      <c r="J36" s="1765"/>
      <c r="K36" s="1431"/>
      <c r="L36" s="1766"/>
      <c r="M36" s="1766"/>
      <c r="N36" s="1766"/>
      <c r="O36" s="1766"/>
      <c r="P36" s="1766"/>
      <c r="Q36" s="1766"/>
      <c r="R36" s="1766"/>
      <c r="S36" s="1766"/>
      <c r="T36" s="1766"/>
      <c r="U36" s="1766"/>
      <c r="V36" s="1766"/>
      <c r="W36" s="1766"/>
      <c r="X36" s="1429"/>
      <c r="Y36" s="1430"/>
      <c r="Z36" s="1430"/>
    </row>
    <row r="37" spans="1:26" ht="11.25" customHeight="1">
      <c r="A37" s="1411"/>
      <c r="C37" s="1765"/>
      <c r="D37" s="1765"/>
      <c r="E37" s="1765"/>
      <c r="F37" s="1765"/>
      <c r="G37" s="1765"/>
      <c r="H37" s="1765"/>
      <c r="I37" s="1765"/>
      <c r="J37" s="1765"/>
      <c r="K37" s="1377"/>
      <c r="L37" s="1377"/>
      <c r="M37" s="1377"/>
      <c r="N37" s="1377"/>
      <c r="O37" s="1377"/>
      <c r="P37" s="1377"/>
      <c r="Q37" s="1377"/>
      <c r="R37" s="1377"/>
      <c r="S37" s="1377"/>
      <c r="T37" s="1377"/>
      <c r="U37" s="1377"/>
      <c r="V37" s="1377"/>
    </row>
    <row r="38" spans="1:26" ht="11.25" customHeight="1">
      <c r="A38" s="1411"/>
      <c r="C38" s="1765"/>
      <c r="D38" s="1765"/>
      <c r="E38" s="1765"/>
      <c r="F38" s="1765"/>
      <c r="G38" s="1765"/>
      <c r="H38" s="1765"/>
      <c r="I38" s="1765"/>
      <c r="J38" s="1765"/>
      <c r="K38" s="1377"/>
      <c r="L38" s="1377"/>
      <c r="M38" s="1377"/>
      <c r="N38" s="1377"/>
      <c r="O38" s="1377"/>
      <c r="P38" s="1377"/>
      <c r="Q38" s="1377"/>
      <c r="R38" s="1377"/>
      <c r="S38" s="1377"/>
      <c r="T38" s="1377"/>
      <c r="U38" s="1377"/>
      <c r="V38" s="1377"/>
    </row>
    <row r="39" spans="1:26" ht="11.25" customHeight="1">
      <c r="A39" s="1407"/>
      <c r="J39" s="1429"/>
      <c r="K39" s="1377"/>
      <c r="L39" s="1377"/>
      <c r="M39" s="1377"/>
      <c r="N39" s="1377"/>
      <c r="O39" s="1377"/>
      <c r="P39" s="1377"/>
      <c r="Q39" s="1377"/>
      <c r="R39" s="1377"/>
      <c r="S39" s="1377"/>
      <c r="T39" s="1377"/>
      <c r="U39" s="1377"/>
      <c r="V39" s="1377"/>
    </row>
    <row r="40" spans="1:26">
      <c r="A40" s="1407"/>
      <c r="V40" s="1377"/>
    </row>
    <row r="41" spans="1:26">
      <c r="A41" s="1407"/>
      <c r="V41" s="1377"/>
    </row>
    <row r="42" spans="1:26">
      <c r="A42" s="1407"/>
      <c r="V42" s="1377"/>
    </row>
    <row r="43" spans="1:26">
      <c r="A43" s="1407"/>
      <c r="V43" s="1377"/>
    </row>
  </sheetData>
  <mergeCells count="14">
    <mergeCell ref="C34:J38"/>
    <mergeCell ref="L34:W36"/>
    <mergeCell ref="T5:T6"/>
    <mergeCell ref="U5:U6"/>
    <mergeCell ref="V5:V6"/>
    <mergeCell ref="W5:W6"/>
    <mergeCell ref="N32:P32"/>
    <mergeCell ref="S32:V32"/>
    <mergeCell ref="S5:S6"/>
    <mergeCell ref="A5:A6"/>
    <mergeCell ref="B5:B6"/>
    <mergeCell ref="C5:C6"/>
    <mergeCell ref="Q5:Q6"/>
    <mergeCell ref="R5:R6"/>
  </mergeCells>
  <pageMargins left="0.70866141732283472" right="0.70866141732283472" top="0.74803149606299213" bottom="0.74803149606299213" header="0.31496062992125984" footer="0.31496062992125984"/>
  <pageSetup orientation="landscape" r:id="rId1"/>
  <headerFooter>
    <oddHeader xml:space="preserve">&amp;C&amp;"Arial,Bold"Attachment 12 - Unfunded Reserves
MidAmerican Central California Transco, LLC
</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499984740745262"/>
  </sheetPr>
  <dimension ref="A1:IV505"/>
  <sheetViews>
    <sheetView tabSelected="1" view="pageBreakPreview" zoomScale="80" zoomScaleNormal="75" zoomScaleSheetLayoutView="80" workbookViewId="0">
      <selection activeCell="D25" sqref="D25"/>
    </sheetView>
  </sheetViews>
  <sheetFormatPr defaultColWidth="8.6640625" defaultRowHeight="15"/>
  <cols>
    <col min="1" max="1" width="6" style="1" customWidth="1"/>
    <col min="2" max="2" width="1.44140625" style="1" customWidth="1"/>
    <col min="3" max="3" width="56.33203125" style="1" customWidth="1"/>
    <col min="4" max="4" width="22" style="1" customWidth="1"/>
    <col min="5" max="5" width="16.44140625" style="1" customWidth="1"/>
    <col min="6" max="6" width="5.77734375" style="1" customWidth="1"/>
    <col min="7" max="7" width="7.88671875" style="1" customWidth="1"/>
    <col min="8" max="8" width="13.5546875" style="1" customWidth="1"/>
    <col min="9" max="9" width="6.77734375" style="1" customWidth="1"/>
    <col min="10" max="10" width="15.6640625" style="1" customWidth="1"/>
    <col min="11" max="11" width="8.88671875" style="1" customWidth="1"/>
    <col min="12" max="12" width="10.21875" style="1" customWidth="1"/>
    <col min="13" max="13" width="14.44140625" style="1" customWidth="1"/>
    <col min="14" max="16384" width="8.664062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495</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431</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106</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7</v>
      </c>
      <c r="E6" s="11" t="s">
        <v>8</v>
      </c>
      <c r="F6" s="11"/>
      <c r="G6" s="11"/>
      <c r="H6" s="11"/>
      <c r="I6" s="8"/>
      <c r="J6" s="721"/>
      <c r="K6" s="722"/>
      <c r="L6" s="719"/>
      <c r="M6" s="720" t="s">
        <v>396</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1191</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69"/>
      <c r="E8" s="870" t="s">
        <v>490</v>
      </c>
      <c r="F8" s="855"/>
      <c r="G8" s="855"/>
      <c r="H8" s="854"/>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69"/>
      <c r="E9" s="870"/>
      <c r="F9" s="855"/>
      <c r="G9" s="855"/>
      <c r="H9" s="854"/>
      <c r="I9" s="10"/>
      <c r="J9" s="10"/>
      <c r="L9" s="10"/>
      <c r="M9" s="879"/>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600</v>
      </c>
      <c r="E10"/>
      <c r="F10" s="855"/>
      <c r="G10" s="855"/>
      <c r="H10" s="854"/>
      <c r="I10" s="10"/>
      <c r="J10" s="10"/>
      <c r="L10" s="10"/>
      <c r="M10" s="879"/>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5"/>
      <c r="G11" s="855"/>
      <c r="H11" s="854"/>
      <c r="I11" s="10"/>
      <c r="J11" s="10"/>
      <c r="L11" s="10"/>
      <c r="M11" s="879"/>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602</v>
      </c>
      <c r="D12" t="s">
        <v>603</v>
      </c>
      <c r="E12" t="s">
        <v>604</v>
      </c>
      <c r="F12" s="855"/>
      <c r="G12" s="855"/>
      <c r="H12" s="854"/>
      <c r="I12" s="10"/>
      <c r="J12" s="10"/>
      <c r="L12" s="10"/>
      <c r="M12" s="879"/>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601</v>
      </c>
      <c r="D13" s="971">
        <v>1</v>
      </c>
      <c r="E13" t="s">
        <v>608</v>
      </c>
      <c r="F13" s="855"/>
      <c r="G13" s="855"/>
      <c r="H13" s="854"/>
      <c r="I13" s="10"/>
      <c r="J13" s="10"/>
      <c r="L13" s="10"/>
      <c r="M13" s="879"/>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601</v>
      </c>
      <c r="D14" s="971">
        <f>+D13+1</f>
        <v>2</v>
      </c>
      <c r="E14" t="s">
        <v>605</v>
      </c>
      <c r="F14" s="855"/>
      <c r="G14" s="855"/>
      <c r="H14" s="854"/>
      <c r="I14" s="10"/>
      <c r="J14" s="10"/>
      <c r="L14" s="10"/>
      <c r="M14" s="879"/>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601</v>
      </c>
      <c r="D15" s="971">
        <f t="shared" ref="D15:D23" si="0">+D14+1</f>
        <v>3</v>
      </c>
      <c r="E15" t="s">
        <v>607</v>
      </c>
      <c r="F15" s="855"/>
      <c r="G15" s="855"/>
      <c r="H15" s="854"/>
      <c r="I15" s="10"/>
      <c r="J15" s="10"/>
      <c r="L15" s="10"/>
      <c r="M15" s="879"/>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601</v>
      </c>
      <c r="D16" s="971">
        <f t="shared" si="0"/>
        <v>4</v>
      </c>
      <c r="E16" t="s">
        <v>606</v>
      </c>
      <c r="F16" s="855"/>
      <c r="G16" s="855"/>
      <c r="H16" s="854"/>
      <c r="I16" s="10"/>
      <c r="J16" s="10"/>
      <c r="L16" s="10"/>
      <c r="M16" s="879"/>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601</v>
      </c>
      <c r="D17" s="971">
        <f t="shared" si="0"/>
        <v>5</v>
      </c>
      <c r="E17" t="s">
        <v>609</v>
      </c>
      <c r="F17" s="855"/>
      <c r="G17" s="855"/>
      <c r="H17" s="854"/>
      <c r="I17" s="10"/>
      <c r="J17" s="10"/>
      <c r="L17" s="10"/>
      <c r="M17" s="879"/>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601</v>
      </c>
      <c r="D18" s="971" t="s">
        <v>613</v>
      </c>
      <c r="E18" t="s">
        <v>610</v>
      </c>
      <c r="F18" s="855"/>
      <c r="G18" s="855"/>
      <c r="H18" s="854"/>
      <c r="I18" s="10"/>
      <c r="J18" s="10"/>
      <c r="L18" s="10"/>
      <c r="M18" s="879"/>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601</v>
      </c>
      <c r="D19" s="971" t="s">
        <v>614</v>
      </c>
      <c r="E19" t="s">
        <v>611</v>
      </c>
      <c r="F19" s="855"/>
      <c r="G19" s="855"/>
      <c r="H19" s="854"/>
      <c r="I19" s="10"/>
      <c r="J19" s="10"/>
      <c r="L19" s="10"/>
      <c r="M19" s="879"/>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601</v>
      </c>
      <c r="D20" s="971" t="s">
        <v>1208</v>
      </c>
      <c r="E20" s="857" t="s">
        <v>1210</v>
      </c>
      <c r="F20" s="855"/>
      <c r="G20" s="855"/>
      <c r="H20" s="854"/>
      <c r="I20" s="10"/>
      <c r="J20" s="10"/>
      <c r="L20" s="10"/>
      <c r="M20" s="879"/>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601</v>
      </c>
      <c r="D21" s="971" t="s">
        <v>1209</v>
      </c>
      <c r="E21" s="857" t="s">
        <v>1211</v>
      </c>
      <c r="F21" s="855"/>
      <c r="G21" s="855"/>
      <c r="H21" s="854"/>
      <c r="I21" s="10"/>
      <c r="J21" s="10"/>
      <c r="L21" s="10"/>
      <c r="M21" s="879"/>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ht="18">
      <c r="A22" s="86"/>
      <c r="C22" t="s">
        <v>601</v>
      </c>
      <c r="D22" s="971" t="s">
        <v>615</v>
      </c>
      <c r="E22" t="s">
        <v>617</v>
      </c>
      <c r="F22" s="855"/>
      <c r="G22" s="855"/>
      <c r="H22" s="854"/>
      <c r="I22" s="10"/>
      <c r="J22" s="10"/>
      <c r="L22" s="10"/>
      <c r="M22" s="879"/>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ht="18">
      <c r="A23" s="86"/>
      <c r="C23" t="s">
        <v>601</v>
      </c>
      <c r="D23" s="971">
        <f t="shared" si="0"/>
        <v>8</v>
      </c>
      <c r="E23" t="s">
        <v>618</v>
      </c>
      <c r="F23" s="855"/>
      <c r="G23" s="855"/>
      <c r="H23" s="854"/>
      <c r="I23" s="10"/>
      <c r="J23" s="10"/>
      <c r="L23" s="10"/>
      <c r="M23" s="879"/>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c r="A24" s="86"/>
      <c r="C24" s="10" t="s">
        <v>601</v>
      </c>
      <c r="D24" s="29">
        <v>9</v>
      </c>
      <c r="E24" s="76" t="s">
        <v>612</v>
      </c>
      <c r="F24" s="10"/>
      <c r="G24" s="10"/>
      <c r="H24" s="10"/>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c r="D25" s="10"/>
      <c r="E25" s="76"/>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10"/>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76"/>
      <c r="F27" s="10"/>
      <c r="G27" s="10"/>
      <c r="H27" s="10"/>
      <c r="I27" s="10"/>
      <c r="J27" s="10"/>
      <c r="K27" s="10"/>
      <c r="L27" s="10"/>
      <c r="M27" s="6"/>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86"/>
      <c r="C28" s="2" t="s">
        <v>6</v>
      </c>
      <c r="D28" s="10"/>
      <c r="E28" s="76"/>
      <c r="F28" s="10"/>
      <c r="G28" s="10"/>
      <c r="H28" s="10"/>
      <c r="I28" s="10"/>
      <c r="J28" s="10"/>
      <c r="K28" s="10"/>
      <c r="L28" s="10"/>
      <c r="M28" s="6"/>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86"/>
      <c r="C29" s="10"/>
      <c r="D29" s="10"/>
      <c r="E29" s="13" t="s">
        <v>9</v>
      </c>
      <c r="F29" s="10"/>
      <c r="G29" s="10"/>
      <c r="H29" s="13" t="s">
        <v>10</v>
      </c>
      <c r="I29" s="10"/>
      <c r="J29" s="13" t="s">
        <v>11</v>
      </c>
      <c r="K29" s="10"/>
      <c r="L29" s="147"/>
      <c r="M29" s="147"/>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c r="A30" s="12"/>
      <c r="C30" s="10"/>
      <c r="D30" s="10"/>
      <c r="L30" s="130"/>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t="s">
        <v>14</v>
      </c>
      <c r="C31" s="10"/>
      <c r="D31" s="10"/>
      <c r="E31" s="14"/>
      <c r="F31" s="10"/>
      <c r="G31" s="10"/>
      <c r="H31" s="10"/>
      <c r="I31" s="10"/>
      <c r="J31" s="4" t="s">
        <v>15</v>
      </c>
      <c r="K31" s="10"/>
      <c r="L31" s="132"/>
      <c r="M31" s="148"/>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ht="15.75" thickBot="1">
      <c r="A32" s="15" t="s">
        <v>16</v>
      </c>
      <c r="C32" s="10"/>
      <c r="D32" s="10"/>
      <c r="E32" s="10"/>
      <c r="F32" s="10"/>
      <c r="G32" s="10"/>
      <c r="H32" s="10"/>
      <c r="I32" s="10"/>
      <c r="J32" s="16" t="s">
        <v>17</v>
      </c>
      <c r="K32" s="10"/>
      <c r="L32" s="148"/>
      <c r="M32" s="148"/>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v>1</v>
      </c>
      <c r="C33" s="10" t="s">
        <v>225</v>
      </c>
      <c r="D33" s="10" t="str">
        <f>"(line "&amp;A163&amp;")"</f>
        <v>(line 67)</v>
      </c>
      <c r="E33" s="17"/>
      <c r="F33" s="10"/>
      <c r="G33" s="10"/>
      <c r="H33" s="66" t="s">
        <v>18</v>
      </c>
      <c r="I33" s="10"/>
      <c r="J33" s="159">
        <f>+J163</f>
        <v>2490881.9470904898</v>
      </c>
      <c r="K33" s="10"/>
      <c r="L33" s="132"/>
      <c r="M33" s="156"/>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c r="A34" s="86"/>
      <c r="B34" s="67"/>
      <c r="C34" s="66"/>
      <c r="D34" s="66"/>
      <c r="E34" s="66"/>
      <c r="F34" s="66"/>
      <c r="G34" s="66"/>
      <c r="H34" s="66"/>
      <c r="I34" s="66"/>
      <c r="J34" s="432"/>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c r="C35" s="10"/>
      <c r="D35" s="10"/>
      <c r="E35" s="10"/>
      <c r="F35" s="10"/>
      <c r="G35" s="10"/>
      <c r="H35" s="10"/>
      <c r="I35" s="10"/>
      <c r="J35" s="174"/>
      <c r="K35" s="10"/>
      <c r="L35" s="132"/>
      <c r="M35" s="133"/>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15.75" thickBot="1">
      <c r="A36" s="12" t="s">
        <v>7</v>
      </c>
      <c r="C36" s="18" t="s">
        <v>19</v>
      </c>
      <c r="D36" s="19"/>
      <c r="E36" s="16" t="s">
        <v>20</v>
      </c>
      <c r="F36" s="11"/>
      <c r="G36" s="20" t="s">
        <v>21</v>
      </c>
      <c r="H36" s="20"/>
      <c r="I36" s="10"/>
      <c r="J36" s="174"/>
      <c r="K36" s="10"/>
      <c r="L36" s="132"/>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2">
        <f>+A33+1</f>
        <v>2</v>
      </c>
      <c r="C37" s="18" t="str">
        <f>+'1 - Revenue Credits'!B15</f>
        <v>Total Revenue Credits</v>
      </c>
      <c r="D37" s="19" t="str">
        <f>"Attachment 1, line "&amp;'1 - Revenue Credits'!A15&amp;""</f>
        <v>Attachment 1, line 7</v>
      </c>
      <c r="E37" s="628">
        <f>+'1 - Revenue Credits'!D15</f>
        <v>0</v>
      </c>
      <c r="F37" s="11"/>
      <c r="G37" s="11" t="str">
        <f>+G60</f>
        <v>TP</v>
      </c>
      <c r="H37" s="626">
        <f>+H60</f>
        <v>1</v>
      </c>
      <c r="I37" s="11"/>
      <c r="J37" s="175">
        <f>+H37*E37</f>
        <v>0</v>
      </c>
      <c r="K37" s="10"/>
      <c r="L37" s="151"/>
      <c r="M37" s="135"/>
      <c r="N37" s="22"/>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45">
      <c r="A38" s="114">
        <f>+A37+1</f>
        <v>3</v>
      </c>
      <c r="B38" s="7"/>
      <c r="C38" s="18" t="s">
        <v>104</v>
      </c>
      <c r="D38" s="1443" t="s">
        <v>1000</v>
      </c>
      <c r="E38" s="1483">
        <f>+'7 - True-Up'!J52</f>
        <v>0</v>
      </c>
      <c r="F38" s="10"/>
      <c r="G38" s="118" t="s">
        <v>137</v>
      </c>
      <c r="H38" s="21">
        <v>1</v>
      </c>
      <c r="I38" s="10"/>
      <c r="J38" s="168">
        <f>+H38*E38</f>
        <v>0</v>
      </c>
      <c r="K38" s="10"/>
      <c r="L38" s="130"/>
      <c r="M38" s="133"/>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c r="A39" s="114"/>
      <c r="B39" s="7"/>
      <c r="C39" s="18"/>
      <c r="D39" s="10"/>
      <c r="E39" s="26"/>
      <c r="F39" s="26"/>
      <c r="G39" s="26"/>
      <c r="H39" s="26"/>
      <c r="I39" s="26"/>
      <c r="J39" s="11"/>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ht="15.75" thickBot="1">
      <c r="A40" s="86">
        <f>+A38+1</f>
        <v>4</v>
      </c>
      <c r="C40" s="18" t="s">
        <v>23</v>
      </c>
      <c r="D40" s="10" t="str">
        <f>"(line "&amp;A33&amp;" minus line "&amp;A37&amp;" plus line "&amp;A38&amp;")"</f>
        <v>(line 1 minus line 2 plus line 3)</v>
      </c>
      <c r="F40" s="11"/>
      <c r="G40" s="11"/>
      <c r="H40" s="11"/>
      <c r="I40" s="11"/>
      <c r="J40" s="27">
        <f>+J33-J37+J38</f>
        <v>2490881.9470904898</v>
      </c>
      <c r="K40" s="10"/>
      <c r="L40" s="1507"/>
      <c r="M40" s="157"/>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ht="15.75" thickTop="1">
      <c r="A41" s="12"/>
      <c r="D41" s="10"/>
      <c r="E41" s="25"/>
      <c r="F41" s="11"/>
      <c r="G41" s="11"/>
      <c r="H41" s="11"/>
      <c r="I41" s="11"/>
      <c r="K41" s="10"/>
      <c r="L41" s="132"/>
      <c r="M41" s="133"/>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c r="A42" s="12"/>
      <c r="D42" s="11"/>
      <c r="E42" s="26"/>
      <c r="F42" s="26"/>
      <c r="G42" s="26"/>
      <c r="H42" s="26"/>
      <c r="I42" s="26"/>
      <c r="J42" s="11"/>
      <c r="K42" s="10"/>
      <c r="L42" s="10"/>
      <c r="M42" s="6"/>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s="130" customFormat="1">
      <c r="A43" s="129"/>
      <c r="C43" s="131"/>
      <c r="D43" s="132"/>
      <c r="E43" s="23"/>
      <c r="F43" s="132"/>
      <c r="G43" s="132"/>
      <c r="H43" s="132"/>
      <c r="I43" s="132"/>
      <c r="J43" s="23"/>
      <c r="K43" s="132"/>
      <c r="L43" s="132"/>
      <c r="M43" s="133"/>
      <c r="N43" s="133"/>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row>
    <row r="44" spans="1:61" s="130" customFormat="1">
      <c r="A44" s="129"/>
      <c r="C44" s="131"/>
      <c r="D44" s="132"/>
      <c r="E44" s="23"/>
      <c r="F44" s="132"/>
      <c r="G44" s="132"/>
      <c r="H44" s="132"/>
      <c r="I44" s="132"/>
      <c r="J44" s="23"/>
      <c r="K44" s="132"/>
      <c r="L44" s="132"/>
      <c r="M44" s="133"/>
      <c r="N44" s="133"/>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row>
    <row r="45" spans="1:61">
      <c r="C45" s="2"/>
      <c r="D45" s="2"/>
      <c r="E45" s="3"/>
      <c r="F45" s="2"/>
      <c r="G45" s="2"/>
      <c r="H45" s="2"/>
      <c r="I45" s="2"/>
      <c r="J45" s="2"/>
      <c r="K45" s="4"/>
      <c r="L45" s="4"/>
      <c r="M45" s="5"/>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5"/>
      <c r="K46" s="5"/>
      <c r="L46" s="5"/>
      <c r="M46" s="5" t="s">
        <v>495</v>
      </c>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9"/>
      <c r="K47" s="9"/>
      <c r="L47" s="9"/>
      <c r="M47" s="9" t="s">
        <v>435</v>
      </c>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c r="D48" s="2"/>
      <c r="E48" s="3"/>
      <c r="F48" s="2"/>
      <c r="G48" s="2"/>
      <c r="H48" s="2"/>
      <c r="I48" s="8"/>
      <c r="J48" s="8"/>
      <c r="K48" s="10"/>
      <c r="L48" s="9"/>
      <c r="M48" s="9"/>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2"/>
      <c r="E49" s="3"/>
      <c r="F49" s="2"/>
      <c r="G49" s="2"/>
      <c r="H49" s="2"/>
      <c r="I49" s="8"/>
      <c r="J49" s="8"/>
      <c r="K49" s="10"/>
      <c r="L49" s="9"/>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t="s">
        <v>6</v>
      </c>
      <c r="D50" s="116"/>
      <c r="E50" s="116" t="s">
        <v>106</v>
      </c>
      <c r="F50" s="2"/>
      <c r="G50" s="2"/>
      <c r="H50" s="2"/>
      <c r="I50" s="8"/>
      <c r="K50" s="10"/>
      <c r="L50" s="10"/>
      <c r="M50" s="6"/>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c r="C51" s="2"/>
      <c r="D51" s="11" t="s">
        <v>7</v>
      </c>
      <c r="E51" s="11" t="s">
        <v>8</v>
      </c>
      <c r="F51" s="11"/>
      <c r="G51" s="11"/>
      <c r="H51" s="11"/>
      <c r="I51" s="8"/>
      <c r="J51" s="8"/>
      <c r="K51" s="10"/>
      <c r="L51" s="10"/>
      <c r="M51" s="6"/>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2"/>
      <c r="D52" s="11"/>
      <c r="E52" s="11"/>
      <c r="F52" s="11"/>
      <c r="G52" s="11"/>
      <c r="H52" s="11"/>
      <c r="I52" s="8"/>
      <c r="J52" s="8"/>
      <c r="K52" s="339"/>
      <c r="L52" s="340"/>
      <c r="M52" s="338" t="str">
        <f>+M7</f>
        <v>For the 12 months ended 12/31/2020, Excess Deferred Update</v>
      </c>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10"/>
      <c r="E53" s="341" t="str">
        <f>+E8</f>
        <v>MidAmerican Central California Transco, LLC</v>
      </c>
      <c r="F53" s="11"/>
      <c r="G53" s="11"/>
      <c r="H53" s="11"/>
      <c r="I53" s="11"/>
      <c r="J53" s="11"/>
      <c r="K53" s="11"/>
      <c r="L53" s="11"/>
      <c r="M53" s="426"/>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c r="C54" s="32" t="s">
        <v>9</v>
      </c>
      <c r="D54" s="32" t="s">
        <v>10</v>
      </c>
      <c r="E54" s="32" t="s">
        <v>11</v>
      </c>
      <c r="F54" s="11" t="s">
        <v>7</v>
      </c>
      <c r="G54" s="11"/>
      <c r="H54" s="33" t="s">
        <v>12</v>
      </c>
      <c r="I54" s="11"/>
      <c r="J54" s="34" t="s">
        <v>13</v>
      </c>
      <c r="K54" s="11"/>
      <c r="L54" s="137"/>
      <c r="M54" s="137"/>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5.75">
      <c r="C55" s="18"/>
      <c r="D55" s="35" t="s">
        <v>24</v>
      </c>
      <c r="E55" s="11"/>
      <c r="F55" s="11"/>
      <c r="G55" s="11"/>
      <c r="H55" s="4"/>
      <c r="I55" s="11"/>
      <c r="J55" s="36" t="s">
        <v>25</v>
      </c>
      <c r="K55" s="11"/>
      <c r="L55" s="138"/>
      <c r="M55" s="139"/>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ht="15.75">
      <c r="A56" s="12" t="s">
        <v>14</v>
      </c>
      <c r="C56" s="18"/>
      <c r="D56" s="37" t="s">
        <v>26</v>
      </c>
      <c r="E56" s="36" t="s">
        <v>27</v>
      </c>
      <c r="F56" s="38"/>
      <c r="G56" s="36" t="s">
        <v>28</v>
      </c>
      <c r="H56" s="26"/>
      <c r="I56" s="38"/>
      <c r="J56" s="39" t="s">
        <v>29</v>
      </c>
      <c r="K56" s="11"/>
      <c r="L56" s="89"/>
      <c r="M56" s="89"/>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ht="16.5" thickBot="1">
      <c r="A57" s="15" t="s">
        <v>16</v>
      </c>
      <c r="C57" s="40" t="s">
        <v>30</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c r="C58" s="18"/>
      <c r="D58" s="11"/>
      <c r="E58" s="11"/>
      <c r="F58" s="11"/>
      <c r="G58" s="11"/>
      <c r="H58" s="11"/>
      <c r="I58" s="11"/>
      <c r="J58" s="11"/>
      <c r="K58" s="11"/>
      <c r="L58" s="127"/>
      <c r="M58" s="136"/>
      <c r="N58" s="3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c r="C59" s="18" t="s">
        <v>505</v>
      </c>
      <c r="D59" s="11"/>
      <c r="E59" s="11"/>
      <c r="F59" s="11"/>
      <c r="G59" s="11"/>
      <c r="H59" s="11"/>
      <c r="I59" s="11"/>
      <c r="J59" s="11"/>
      <c r="K59" s="11"/>
      <c r="L59" s="127"/>
      <c r="M59" s="136"/>
      <c r="N59" s="3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+A40+1</f>
        <v>5</v>
      </c>
      <c r="C60" s="18" t="s">
        <v>43</v>
      </c>
      <c r="D60" s="19" t="s">
        <v>1038</v>
      </c>
      <c r="E60" s="124">
        <f>+'2 - Cost Support '!F20</f>
        <v>0</v>
      </c>
      <c r="F60" s="11"/>
      <c r="G60" s="11" t="s">
        <v>22</v>
      </c>
      <c r="H60" s="626">
        <f>+J$194</f>
        <v>1</v>
      </c>
      <c r="I60" s="11"/>
      <c r="J60" s="175">
        <f>+H60*E60</f>
        <v>0</v>
      </c>
      <c r="K60" s="11"/>
      <c r="L60" s="140"/>
      <c r="M60" s="141"/>
      <c r="N60" s="4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f>+A60+1</f>
        <v>6</v>
      </c>
      <c r="C61" s="18" t="s">
        <v>220</v>
      </c>
      <c r="D61" s="19" t="s">
        <v>1039</v>
      </c>
      <c r="E61" s="124">
        <f>+'2 - Cost Support '!F36+'2 - Cost Support '!F52</f>
        <v>0</v>
      </c>
      <c r="F61" s="11"/>
      <c r="G61" s="11" t="s">
        <v>33</v>
      </c>
      <c r="H61" s="626">
        <f>+J$200</f>
        <v>1</v>
      </c>
      <c r="I61" s="11"/>
      <c r="J61" s="175">
        <f>+H61*E61</f>
        <v>0</v>
      </c>
      <c r="K61" s="11"/>
      <c r="L61" s="140"/>
      <c r="M61" s="141"/>
      <c r="N61" s="4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+A61+1</f>
        <v>7</v>
      </c>
      <c r="C62" s="2" t="str">
        <f>"TOTAL GROSS PLANT (sum lines "&amp;A60&amp;"-"&amp;A61&amp;")"</f>
        <v>TOTAL GROSS PLANT (sum lines 5-6)</v>
      </c>
      <c r="D62" s="19" t="s">
        <v>283</v>
      </c>
      <c r="E62" s="124">
        <f>SUM(E60:E61)</f>
        <v>0</v>
      </c>
      <c r="F62" s="11"/>
      <c r="G62" s="11" t="s">
        <v>34</v>
      </c>
      <c r="H62" s="639">
        <f>IF(J62=0,1,J62/E62)</f>
        <v>1</v>
      </c>
      <c r="I62" s="11"/>
      <c r="J62" s="175">
        <f>SUM(J60:J61)</f>
        <v>0</v>
      </c>
      <c r="K62" s="11"/>
      <c r="L62" s="142"/>
      <c r="M62" s="127"/>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c r="C63" s="18"/>
      <c r="D63" s="19"/>
      <c r="E63" s="124"/>
      <c r="F63" s="11"/>
      <c r="G63" s="11"/>
      <c r="H63" s="640"/>
      <c r="I63" s="11"/>
      <c r="J63" s="175"/>
      <c r="K63" s="11"/>
      <c r="L63" s="143"/>
      <c r="M63" s="136"/>
      <c r="N63" s="3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+A62+1</f>
        <v>8</v>
      </c>
      <c r="C64" s="50" t="s">
        <v>506</v>
      </c>
      <c r="D64" s="19"/>
      <c r="E64" s="124"/>
      <c r="F64" s="11"/>
      <c r="G64" s="11"/>
      <c r="H64" s="626"/>
      <c r="I64" s="11"/>
      <c r="J64" s="175"/>
      <c r="K64" s="11"/>
      <c r="L64" s="127"/>
      <c r="M64" s="136"/>
      <c r="N64" s="3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9</v>
      </c>
      <c r="C65" s="18" t="s">
        <v>43</v>
      </c>
      <c r="D65" s="19" t="s">
        <v>1040</v>
      </c>
      <c r="E65" s="124">
        <f>+'2 - Cost Support '!F73</f>
        <v>0</v>
      </c>
      <c r="F65" s="11"/>
      <c r="G65" s="11" t="str">
        <f>+G60</f>
        <v>TP</v>
      </c>
      <c r="H65" s="626">
        <f>+J$194</f>
        <v>1</v>
      </c>
      <c r="I65" s="11"/>
      <c r="J65" s="175">
        <f>+H65*E65</f>
        <v>0</v>
      </c>
      <c r="K65" s="11"/>
      <c r="L65" s="145"/>
      <c r="M65" s="144"/>
      <c r="N65" s="4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f>+A65+1</f>
        <v>10</v>
      </c>
      <c r="C66" s="18" t="s">
        <v>220</v>
      </c>
      <c r="D66" s="19" t="s">
        <v>1041</v>
      </c>
      <c r="E66" s="124">
        <f>+'2 - Cost Support '!F89+'2 - Cost Support '!F105</f>
        <v>0</v>
      </c>
      <c r="F66" s="11"/>
      <c r="G66" s="11" t="str">
        <f>+G61</f>
        <v>W/S</v>
      </c>
      <c r="H66" s="626">
        <f>+J$200</f>
        <v>1</v>
      </c>
      <c r="I66" s="11"/>
      <c r="J66" s="175">
        <f>+H66*E66</f>
        <v>0</v>
      </c>
      <c r="K66" s="11"/>
      <c r="L66" s="145"/>
      <c r="M66" s="144"/>
      <c r="N66" s="4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+A66+1</f>
        <v>11</v>
      </c>
      <c r="C67" s="18" t="str">
        <f>"TOTAL ACCUM. DEPRECIATION (sum lines "&amp;A65&amp;"-"&amp;A66&amp;")"</f>
        <v>TOTAL ACCUM. DEPRECIATION (sum lines 9-10)</v>
      </c>
      <c r="D67" s="11"/>
      <c r="E67" s="124">
        <f>SUM(E65:E66)</f>
        <v>0</v>
      </c>
      <c r="F67" s="11"/>
      <c r="G67" s="11"/>
      <c r="H67" s="626"/>
      <c r="I67" s="11"/>
      <c r="J67" s="175">
        <f>SUM(J65:J66)</f>
        <v>0</v>
      </c>
      <c r="K67" s="11"/>
      <c r="L67" s="127"/>
      <c r="M67" s="127"/>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c r="C68" s="7"/>
      <c r="D68" s="11" t="s">
        <v>7</v>
      </c>
      <c r="E68" s="411"/>
      <c r="F68" s="11"/>
      <c r="G68" s="11"/>
      <c r="H68" s="640"/>
      <c r="I68" s="11"/>
      <c r="J68" s="168"/>
      <c r="K68" s="11"/>
      <c r="L68" s="143"/>
      <c r="M68" s="136"/>
      <c r="N68" s="31"/>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+A67+1</f>
        <v>12</v>
      </c>
      <c r="C69" s="18" t="s">
        <v>35</v>
      </c>
      <c r="D69" s="11"/>
      <c r="E69" s="124"/>
      <c r="F69" s="11"/>
      <c r="G69" s="11"/>
      <c r="H69" s="626"/>
      <c r="I69" s="11"/>
      <c r="J69" s="175"/>
      <c r="K69" s="11"/>
      <c r="L69" s="127"/>
      <c r="M69" s="136"/>
      <c r="N69" s="31"/>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13</v>
      </c>
      <c r="C70" s="18" t="s">
        <v>32</v>
      </c>
      <c r="D70" s="11" t="str">
        <f>" (line "&amp;A60&amp;"- line "&amp;A65&amp;")"</f>
        <v xml:space="preserve"> (line 5- line 9)</v>
      </c>
      <c r="E70" s="124">
        <f>+E60-E65</f>
        <v>0</v>
      </c>
      <c r="F70" s="11"/>
      <c r="G70" s="11"/>
      <c r="H70" s="626"/>
      <c r="I70" s="11"/>
      <c r="J70" s="175">
        <f>+J60-J65</f>
        <v>0</v>
      </c>
      <c r="K70" s="11"/>
      <c r="L70" s="143"/>
      <c r="M70" s="145"/>
      <c r="N70" s="22"/>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f>+A70+1</f>
        <v>14</v>
      </c>
      <c r="C71" s="18" t="s">
        <v>105</v>
      </c>
      <c r="D71" s="11" t="str">
        <f>" (line "&amp;A61&amp;"- line "&amp;A66&amp;")"</f>
        <v xml:space="preserve"> (line 6- line 10)</v>
      </c>
      <c r="E71" s="124">
        <f>+E61-E66</f>
        <v>0</v>
      </c>
      <c r="F71" s="11"/>
      <c r="G71" s="11"/>
      <c r="H71" s="640"/>
      <c r="I71" s="11"/>
      <c r="J71" s="175">
        <f>+J61-J66</f>
        <v>0</v>
      </c>
      <c r="K71" s="11"/>
      <c r="L71" s="143"/>
      <c r="M71" s="145"/>
      <c r="N71" s="22"/>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+A71+1</f>
        <v>15</v>
      </c>
      <c r="C72" s="18" t="str">
        <f>"TOTAL NET PLANT (sum lines "&amp;A70&amp;"-"&amp;A71&amp;")"</f>
        <v>TOTAL NET PLANT (sum lines 13-14)</v>
      </c>
      <c r="D72" s="19" t="s">
        <v>284</v>
      </c>
      <c r="E72" s="124">
        <f>SUM(E70:E71)</f>
        <v>0</v>
      </c>
      <c r="F72" s="19"/>
      <c r="G72" s="19" t="s">
        <v>36</v>
      </c>
      <c r="H72" s="639">
        <f>IF(J72=0,1,J72/E72)</f>
        <v>1</v>
      </c>
      <c r="I72" s="11"/>
      <c r="J72" s="175">
        <f>SUM(J70:J71)</f>
        <v>0</v>
      </c>
      <c r="K72" s="11"/>
      <c r="L72" s="127"/>
      <c r="M72" s="127"/>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c r="A73" s="12"/>
      <c r="C73" s="7"/>
      <c r="D73" s="19"/>
      <c r="E73" s="411"/>
      <c r="F73" s="19"/>
      <c r="G73" s="67"/>
      <c r="H73" s="641"/>
      <c r="I73" s="11"/>
      <c r="J73" s="168"/>
      <c r="K73" s="11"/>
      <c r="L73" s="143"/>
      <c r="M73" s="136"/>
      <c r="N73" s="31"/>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c r="A74" s="12">
        <f>+A72+1</f>
        <v>16</v>
      </c>
      <c r="C74" s="2" t="str">
        <f>"ADJUSTMENTS TO RATE BASE       (Note "&amp;A236&amp;")"</f>
        <v>ADJUSTMENTS TO RATE BASE       (Note A)</v>
      </c>
      <c r="D74" s="19"/>
      <c r="E74" s="124"/>
      <c r="F74" s="19"/>
      <c r="G74" s="19"/>
      <c r="H74" s="629"/>
      <c r="I74" s="11"/>
      <c r="J74" s="175"/>
      <c r="K74" s="11"/>
      <c r="L74" s="127"/>
      <c r="M74" s="136"/>
      <c r="N74" s="31"/>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s="67" customFormat="1">
      <c r="A75" s="1640">
        <f t="shared" ref="A75:A81" si="1">+A74+1</f>
        <v>17</v>
      </c>
      <c r="B75" s="72"/>
      <c r="C75" s="72" t="s">
        <v>1200</v>
      </c>
      <c r="D75" s="19" t="s">
        <v>1096</v>
      </c>
      <c r="E75" s="124">
        <f>+'6d - Prorated ADIT'!J102</f>
        <v>-2241343.0000000019</v>
      </c>
      <c r="F75" s="19"/>
      <c r="G75" s="19" t="str">
        <f>+G83</f>
        <v>TP</v>
      </c>
      <c r="H75" s="629">
        <f>+H83</f>
        <v>1</v>
      </c>
      <c r="I75" s="19"/>
      <c r="J75" s="124">
        <f t="shared" ref="J75:J80" si="2">+H75*E75</f>
        <v>-2241343.0000000019</v>
      </c>
      <c r="K75" s="19"/>
      <c r="L75" s="128"/>
      <c r="M75" s="657"/>
      <c r="N75" s="658"/>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18</v>
      </c>
      <c r="C76" s="647" t="s">
        <v>298</v>
      </c>
      <c r="D76" s="19" t="s">
        <v>1042</v>
      </c>
      <c r="E76" s="124">
        <f>+'2a - Cost Support'!G5</f>
        <v>0</v>
      </c>
      <c r="F76" s="19"/>
      <c r="G76" s="19" t="s">
        <v>37</v>
      </c>
      <c r="H76" s="629">
        <f>+H$72</f>
        <v>1</v>
      </c>
      <c r="I76" s="19"/>
      <c r="J76" s="161">
        <f t="shared" si="2"/>
        <v>0</v>
      </c>
      <c r="K76" s="19"/>
      <c r="L76" s="128"/>
      <c r="M76" s="657"/>
      <c r="N76" s="658"/>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s="67" customFormat="1">
      <c r="A77" s="86">
        <f t="shared" si="1"/>
        <v>19</v>
      </c>
      <c r="C77" s="647" t="s">
        <v>195</v>
      </c>
      <c r="D77" s="19" t="s">
        <v>455</v>
      </c>
      <c r="E77" s="161">
        <f>+'2a - Cost Support'!G43</f>
        <v>0</v>
      </c>
      <c r="F77" s="128"/>
      <c r="G77" s="128" t="s">
        <v>137</v>
      </c>
      <c r="H77" s="642">
        <v>1</v>
      </c>
      <c r="I77" s="128"/>
      <c r="J77" s="161">
        <f>+E77*H77</f>
        <v>0</v>
      </c>
      <c r="K77" s="19"/>
      <c r="L77" s="659"/>
      <c r="M77" s="657"/>
      <c r="N77" s="658"/>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row>
    <row r="78" spans="1:61" s="67" customFormat="1">
      <c r="A78" s="86">
        <f t="shared" si="1"/>
        <v>20</v>
      </c>
      <c r="C78" s="647" t="s">
        <v>385</v>
      </c>
      <c r="D78" s="19" t="s">
        <v>1043</v>
      </c>
      <c r="E78" s="161">
        <f>+'2a - Cost Support'!H65</f>
        <v>0</v>
      </c>
      <c r="F78" s="128"/>
      <c r="G78" s="128" t="str">
        <f>+G79</f>
        <v>DA</v>
      </c>
      <c r="H78" s="642">
        <f>+H79</f>
        <v>1</v>
      </c>
      <c r="I78" s="128"/>
      <c r="J78" s="161">
        <f t="shared" si="2"/>
        <v>0</v>
      </c>
      <c r="K78" s="19"/>
      <c r="L78" s="659"/>
      <c r="M78" s="657"/>
      <c r="N78" s="658"/>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row>
    <row r="79" spans="1:61">
      <c r="A79" s="86">
        <f t="shared" si="1"/>
        <v>21</v>
      </c>
      <c r="B79" s="67"/>
      <c r="C79" s="167" t="s">
        <v>391</v>
      </c>
      <c r="D79" s="19" t="s">
        <v>480</v>
      </c>
      <c r="E79" s="161">
        <f>+'2a - Cost Support'!H143</f>
        <v>1728068.5</v>
      </c>
      <c r="F79" s="128"/>
      <c r="G79" s="128" t="str">
        <f>+G80</f>
        <v>DA</v>
      </c>
      <c r="H79" s="642">
        <f>+H80</f>
        <v>1</v>
      </c>
      <c r="I79" s="128"/>
      <c r="J79" s="161">
        <f t="shared" si="2"/>
        <v>1728068.5</v>
      </c>
      <c r="K79" s="11"/>
      <c r="L79" s="142"/>
      <c r="M79" s="144"/>
      <c r="N79" s="22"/>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f t="shared" si="1"/>
        <v>22</v>
      </c>
      <c r="C80" s="420" t="s">
        <v>226</v>
      </c>
      <c r="D80" s="416" t="s">
        <v>428</v>
      </c>
      <c r="E80" s="417">
        <f>+'2a - Cost Support'!G7</f>
        <v>5042233.6642105263</v>
      </c>
      <c r="F80" s="418"/>
      <c r="G80" s="418" t="s">
        <v>137</v>
      </c>
      <c r="H80" s="627">
        <v>1</v>
      </c>
      <c r="I80" s="418"/>
      <c r="J80" s="419">
        <f t="shared" si="2"/>
        <v>5042233.6642105263</v>
      </c>
      <c r="K80" s="11"/>
      <c r="L80" s="128"/>
      <c r="M80" s="144"/>
      <c r="N80" s="22"/>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 t="shared" si="1"/>
        <v>23</v>
      </c>
      <c r="B81" s="7"/>
      <c r="C81" s="412" t="str">
        <f>"TOTAL ADJUSTMENTS  (sum lines "&amp;A75&amp;"-"&amp;A80&amp;")"</f>
        <v>TOTAL ADJUSTMENTS  (sum lines 17-22)</v>
      </c>
      <c r="D81" s="19"/>
      <c r="E81" s="124">
        <f>SUM(E75:E80)</f>
        <v>4528959.1642105244</v>
      </c>
      <c r="F81" s="11"/>
      <c r="G81" s="11"/>
      <c r="H81" s="626"/>
      <c r="I81" s="11"/>
      <c r="J81" s="175">
        <f>SUM(J75:J80)</f>
        <v>4528959.1642105244</v>
      </c>
      <c r="K81" s="11"/>
      <c r="L81" s="128"/>
      <c r="M81" s="127"/>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7"/>
      <c r="D82" s="19"/>
      <c r="E82" s="411"/>
      <c r="F82" s="11"/>
      <c r="G82" s="11"/>
      <c r="H82" s="640"/>
      <c r="I82" s="11"/>
      <c r="J82" s="168"/>
      <c r="K82" s="11"/>
      <c r="L82" s="150"/>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24</v>
      </c>
      <c r="C83" s="2" t="s">
        <v>221</v>
      </c>
      <c r="D83" s="19" t="s">
        <v>1044</v>
      </c>
      <c r="E83" s="124">
        <f>+'2a - Cost Support'!I53</f>
        <v>0</v>
      </c>
      <c r="F83" s="11"/>
      <c r="G83" s="11" t="str">
        <f>+G65</f>
        <v>TP</v>
      </c>
      <c r="H83" s="626">
        <f>+J$194</f>
        <v>1</v>
      </c>
      <c r="I83" s="11"/>
      <c r="J83" s="175">
        <f>+H83*E83</f>
        <v>0</v>
      </c>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c r="C84" s="18"/>
      <c r="D84" s="19"/>
      <c r="E84" s="124"/>
      <c r="F84" s="11"/>
      <c r="G84" s="11"/>
      <c r="H84" s="626"/>
      <c r="I84" s="11"/>
      <c r="J84" s="175"/>
      <c r="K84" s="11"/>
      <c r="L84" s="128"/>
      <c r="M84" s="136"/>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+A83+1</f>
        <v>25</v>
      </c>
      <c r="C85" s="18" t="str">
        <f>"WORKING CAPITAL  (Note "&amp;A240&amp;")"</f>
        <v>WORKING CAPITAL  (Note C)</v>
      </c>
      <c r="D85" s="19" t="s">
        <v>7</v>
      </c>
      <c r="E85" s="124"/>
      <c r="F85" s="11"/>
      <c r="G85" s="11"/>
      <c r="H85" s="626"/>
      <c r="I85" s="11"/>
      <c r="J85" s="175"/>
      <c r="K85" s="11"/>
      <c r="L85" s="128"/>
      <c r="M85" s="13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26</v>
      </c>
      <c r="C86" s="18" t="s">
        <v>39</v>
      </c>
      <c r="D86" s="647" t="s">
        <v>758</v>
      </c>
      <c r="E86" s="124">
        <f>+E124/8</f>
        <v>81805.147817725636</v>
      </c>
      <c r="F86" s="11"/>
      <c r="G86" s="11"/>
      <c r="H86" s="640"/>
      <c r="I86" s="11"/>
      <c r="J86" s="124">
        <f>+J124/8</f>
        <v>81805.147817725636</v>
      </c>
      <c r="K86" s="11"/>
      <c r="L86" s="142"/>
      <c r="M86" s="144"/>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27</v>
      </c>
      <c r="C87" s="18" t="str">
        <f>"  Materials &amp; Supplies  (Note "&amp;A239&amp;")"</f>
        <v xml:space="preserve">  Materials &amp; Supplies  (Note B)</v>
      </c>
      <c r="D87" s="19" t="s">
        <v>1045</v>
      </c>
      <c r="E87" s="124">
        <f>+'2a - Cost Support'!H133</f>
        <v>0</v>
      </c>
      <c r="F87" s="11"/>
      <c r="G87" s="11" t="str">
        <f>+G83</f>
        <v>TP</v>
      </c>
      <c r="H87" s="626">
        <f>+H83</f>
        <v>1</v>
      </c>
      <c r="I87" s="11"/>
      <c r="J87" s="175">
        <f>+H87*E87</f>
        <v>0</v>
      </c>
      <c r="K87" s="11"/>
      <c r="L87" s="150"/>
      <c r="M87" s="146"/>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c r="A88" s="12">
        <f>+A87+1</f>
        <v>28</v>
      </c>
      <c r="C88" s="421" t="str">
        <f xml:space="preserve">  "Prepayments (Account 165 - Note "&amp;A240&amp;")"</f>
        <v>Prepayments (Account 165 - Note C)</v>
      </c>
      <c r="D88" s="416" t="s">
        <v>1046</v>
      </c>
      <c r="E88" s="417">
        <f>+'2a - Cost Support'!F26</f>
        <v>0</v>
      </c>
      <c r="F88" s="418"/>
      <c r="G88" s="418" t="s">
        <v>41</v>
      </c>
      <c r="H88" s="630">
        <f>+H$62</f>
        <v>1</v>
      </c>
      <c r="I88" s="418"/>
      <c r="J88" s="419">
        <f>+H88*E88</f>
        <v>0</v>
      </c>
      <c r="K88" s="11"/>
      <c r="L88" s="128"/>
      <c r="M88" s="127"/>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c r="A89" s="12">
        <f>+A88+1</f>
        <v>29</v>
      </c>
      <c r="C89" s="18" t="str">
        <f>"TOTAL WORKING CAPITAL (sum lines "&amp;A86&amp;"-"&amp;A88&amp;")"</f>
        <v>TOTAL WORKING CAPITAL (sum lines 26-28)</v>
      </c>
      <c r="D89" s="10"/>
      <c r="E89" s="175">
        <f>SUM(E86:E88)</f>
        <v>81805.147817725636</v>
      </c>
      <c r="F89" s="10"/>
      <c r="G89" s="10"/>
      <c r="H89" s="10"/>
      <c r="I89" s="10"/>
      <c r="J89" s="175">
        <f>SUM(J86:J88)</f>
        <v>81805.147817725636</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Bot="1">
      <c r="A90" s="12"/>
      <c r="D90" s="11"/>
      <c r="E90" s="169"/>
      <c r="F90" s="11"/>
      <c r="G90" s="11"/>
      <c r="H90" s="11"/>
      <c r="I90" s="11"/>
      <c r="J90" s="169"/>
      <c r="K90" s="11"/>
      <c r="L90" s="125"/>
      <c r="M90" s="125"/>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ht="15.75" thickBot="1">
      <c r="A91" s="12">
        <f>+A89+1</f>
        <v>30</v>
      </c>
      <c r="C91" s="18" t="str">
        <f>"RATE BASE  (sum lines "&amp;A72&amp;", "&amp;A81&amp;", "&amp;A83&amp;", &amp; "&amp;A89&amp;")"</f>
        <v>RATE BASE  (sum lines 15, 23, 24, &amp; 29)</v>
      </c>
      <c r="D91" s="11"/>
      <c r="E91" s="176">
        <f>+E72+E81+E83+E89</f>
        <v>4610764.3120282497</v>
      </c>
      <c r="F91" s="11"/>
      <c r="G91" s="11"/>
      <c r="H91" s="42"/>
      <c r="I91" s="11"/>
      <c r="J91" s="176">
        <f>+J72+J81+J83+J89</f>
        <v>4610764.3120282497</v>
      </c>
      <c r="K91" s="11"/>
      <c r="L91" s="127"/>
      <c r="M91" s="127"/>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ht="15.75" thickTop="1">
      <c r="A92" s="12"/>
      <c r="C92" s="18"/>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27"/>
      <c r="M94" s="136"/>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1"/>
      <c r="D95" s="11"/>
      <c r="E95" s="11"/>
      <c r="F95" s="11"/>
      <c r="G95" s="11"/>
      <c r="H95" s="11"/>
      <c r="I95" s="11"/>
      <c r="J95" s="175"/>
      <c r="K95" s="11"/>
      <c r="L95" s="127"/>
      <c r="M95" s="136"/>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112"/>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112"/>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7"/>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29"/>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44"/>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44"/>
      <c r="D101" s="11"/>
      <c r="E101" s="11"/>
      <c r="F101" s="11"/>
      <c r="G101" s="11"/>
      <c r="H101" s="11"/>
      <c r="I101" s="11"/>
      <c r="J101" s="175"/>
      <c r="K101" s="11"/>
      <c r="L101" s="11"/>
      <c r="M101" s="30"/>
      <c r="N101" s="31"/>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18"/>
      <c r="D102" s="11"/>
      <c r="E102" s="11"/>
      <c r="F102" s="11"/>
      <c r="G102" s="11"/>
      <c r="H102" s="11"/>
      <c r="I102" s="11"/>
      <c r="J102" s="175"/>
      <c r="K102" s="11"/>
      <c r="L102" s="11"/>
      <c r="M102" s="30"/>
      <c r="N102" s="31"/>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2"/>
      <c r="J103" s="177"/>
      <c r="K103" s="4"/>
      <c r="L103" s="4"/>
      <c r="M103" s="5" t="s">
        <v>495</v>
      </c>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78"/>
      <c r="K104" s="5"/>
      <c r="L104" s="5"/>
      <c r="M104" s="9" t="s">
        <v>434</v>
      </c>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79"/>
      <c r="K105" s="9"/>
      <c r="L105" s="9"/>
      <c r="M105" s="9"/>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c r="D106" s="2"/>
      <c r="E106" s="3"/>
      <c r="F106" s="2"/>
      <c r="G106" s="2"/>
      <c r="H106" s="2"/>
      <c r="I106" s="8"/>
      <c r="J106" s="180"/>
      <c r="K106" s="10"/>
      <c r="L106" s="9"/>
      <c r="M106" s="9"/>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2"/>
      <c r="E107" s="3"/>
      <c r="F107" s="2"/>
      <c r="G107" s="2"/>
      <c r="H107" s="2"/>
      <c r="I107" s="8"/>
      <c r="J107" s="180"/>
      <c r="K107" s="10"/>
      <c r="L107" s="9"/>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t="s">
        <v>6</v>
      </c>
      <c r="D108" s="116"/>
      <c r="E108" s="116" t="s">
        <v>106</v>
      </c>
      <c r="F108" s="2"/>
      <c r="G108" s="2"/>
      <c r="H108" s="2"/>
      <c r="I108" s="8"/>
      <c r="J108" s="168"/>
      <c r="K108" s="10"/>
      <c r="L108" s="10"/>
      <c r="M108" s="6"/>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c r="A109" s="12"/>
      <c r="C109" s="2"/>
      <c r="D109" s="11" t="s">
        <v>7</v>
      </c>
      <c r="E109" s="11" t="s">
        <v>8</v>
      </c>
      <c r="F109" s="11"/>
      <c r="G109" s="11"/>
      <c r="H109" s="11"/>
      <c r="I109" s="8"/>
      <c r="J109" s="180"/>
      <c r="K109" s="10"/>
      <c r="L109" s="10"/>
      <c r="M109" s="6"/>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2"/>
      <c r="D110" s="11"/>
      <c r="E110" s="11"/>
      <c r="F110" s="11"/>
      <c r="G110" s="11"/>
      <c r="H110" s="11"/>
      <c r="I110" s="8"/>
      <c r="J110" s="180"/>
      <c r="K110" s="339"/>
      <c r="L110" s="340"/>
      <c r="M110" s="338" t="str">
        <f>+M52</f>
        <v>For the 12 months ended 12/31/2020, Excess Deferred Update</v>
      </c>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D111" s="26"/>
      <c r="E111" s="341" t="str">
        <f>+E53</f>
        <v>MidAmerican Central California Transco, LLC</v>
      </c>
      <c r="F111" s="26"/>
      <c r="G111" s="26"/>
      <c r="H111" s="26"/>
      <c r="I111" s="26"/>
      <c r="J111" s="175"/>
      <c r="K111" s="11"/>
      <c r="L111" s="11"/>
      <c r="M111" s="426"/>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c r="A112" s="12"/>
      <c r="C112" s="32" t="s">
        <v>9</v>
      </c>
      <c r="D112" s="32" t="s">
        <v>10</v>
      </c>
      <c r="E112" s="32" t="s">
        <v>11</v>
      </c>
      <c r="F112" s="11" t="s">
        <v>7</v>
      </c>
      <c r="G112" s="11"/>
      <c r="H112" s="33" t="s">
        <v>12</v>
      </c>
      <c r="I112" s="11"/>
      <c r="J112" s="181" t="s">
        <v>13</v>
      </c>
      <c r="K112" s="11"/>
      <c r="L112" s="137"/>
      <c r="M112" s="137"/>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32"/>
      <c r="D113" s="45"/>
      <c r="E113" s="45"/>
      <c r="F113" s="45"/>
      <c r="G113" s="45"/>
      <c r="H113" s="45"/>
      <c r="I113" s="45"/>
      <c r="J113" s="182"/>
      <c r="K113" s="45"/>
      <c r="L113" s="152"/>
      <c r="M113" s="153"/>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35" t="s">
        <v>24</v>
      </c>
      <c r="E114" s="11"/>
      <c r="F114" s="11"/>
      <c r="G114" s="11"/>
      <c r="H114" s="4"/>
      <c r="I114" s="11"/>
      <c r="J114" s="183" t="s">
        <v>25</v>
      </c>
      <c r="K114" s="11"/>
      <c r="L114" s="138"/>
      <c r="M114" s="139"/>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ht="15.75">
      <c r="A115" s="12"/>
      <c r="C115" s="18"/>
      <c r="D115" s="37" t="s">
        <v>26</v>
      </c>
      <c r="E115" s="36" t="s">
        <v>27</v>
      </c>
      <c r="F115" s="38"/>
      <c r="G115" s="36" t="s">
        <v>28</v>
      </c>
      <c r="H115" s="26"/>
      <c r="I115" s="38"/>
      <c r="J115" s="184" t="s">
        <v>29</v>
      </c>
      <c r="K115" s="11"/>
      <c r="L115" s="89"/>
      <c r="M115" s="89"/>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ht="15.75">
      <c r="A116" s="12"/>
      <c r="C116" s="18"/>
      <c r="D116" s="11"/>
      <c r="E116" s="46"/>
      <c r="F116" s="47"/>
      <c r="G116" s="48"/>
      <c r="H116" s="26"/>
      <c r="I116" s="47"/>
      <c r="J116" s="168"/>
      <c r="K116" s="7"/>
      <c r="L116" s="126"/>
      <c r="M116" s="126"/>
      <c r="N116" s="31"/>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+A91+1</f>
        <v>31</v>
      </c>
      <c r="C117" s="18" t="s">
        <v>42</v>
      </c>
      <c r="D117" s="11"/>
      <c r="E117" s="11"/>
      <c r="I117" s="11"/>
      <c r="J117" s="168"/>
      <c r="K117" s="7"/>
      <c r="L117" s="126"/>
      <c r="M117" s="126"/>
      <c r="N117" s="31"/>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ref="A118:A123" si="3">+A117+1</f>
        <v>32</v>
      </c>
      <c r="C118" s="18" t="s">
        <v>43</v>
      </c>
      <c r="D118" s="11" t="s">
        <v>486</v>
      </c>
      <c r="E118" s="186">
        <f>'WP1 - O&amp;M detail'!I33</f>
        <v>493231.06</v>
      </c>
      <c r="F118" s="11"/>
      <c r="G118" s="11" t="str">
        <f>+I194</f>
        <v>TP=</v>
      </c>
      <c r="H118" s="626">
        <f>+J194</f>
        <v>1</v>
      </c>
      <c r="I118" s="11"/>
      <c r="J118" s="168">
        <f t="shared" ref="J118:J123" si="4">+H118*E118</f>
        <v>493231.06</v>
      </c>
      <c r="K118" s="11"/>
      <c r="L118" s="127"/>
      <c r="M118" s="127"/>
      <c r="N118" s="49"/>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33</v>
      </c>
      <c r="C119" s="50" t="s">
        <v>316</v>
      </c>
      <c r="D119" s="19" t="s">
        <v>442</v>
      </c>
      <c r="E119" s="186">
        <v>0</v>
      </c>
      <c r="F119" s="11"/>
      <c r="G119" s="11" t="str">
        <f>+G118</f>
        <v>TP=</v>
      </c>
      <c r="H119" s="626">
        <f>+H118</f>
        <v>1</v>
      </c>
      <c r="I119" s="11"/>
      <c r="J119" s="168">
        <f t="shared" si="4"/>
        <v>0</v>
      </c>
      <c r="K119" s="11"/>
      <c r="L119" s="127"/>
      <c r="M119" s="127"/>
      <c r="N119" s="49"/>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34</v>
      </c>
      <c r="C120" s="50" t="s">
        <v>44</v>
      </c>
      <c r="D120" s="19" t="s">
        <v>276</v>
      </c>
      <c r="E120" s="186">
        <f>'WP2 - A&amp;G detail'!I25</f>
        <v>161267</v>
      </c>
      <c r="F120" s="11"/>
      <c r="G120" s="11" t="s">
        <v>33</v>
      </c>
      <c r="H120" s="626">
        <f>+J$200</f>
        <v>1</v>
      </c>
      <c r="I120" s="11"/>
      <c r="J120" s="168">
        <f t="shared" si="4"/>
        <v>161267</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35</v>
      </c>
      <c r="C121" s="50" t="s">
        <v>269</v>
      </c>
      <c r="D121" s="50" t="str">
        <f>" (Note "&amp;A243&amp;" &amp; Attach 2)"</f>
        <v xml:space="preserve"> (Note D &amp; Attach 2)</v>
      </c>
      <c r="E121" s="124">
        <f>+'2a - Cost Support'!G76+'2a - Cost Support'!G89+'2a - Cost Support'!I104</f>
        <v>0</v>
      </c>
      <c r="F121" s="11"/>
      <c r="G121" s="11" t="s">
        <v>137</v>
      </c>
      <c r="H121" s="626">
        <f>+H129</f>
        <v>1</v>
      </c>
      <c r="I121" s="11"/>
      <c r="J121" s="168">
        <f t="shared" si="4"/>
        <v>0</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 t="shared" si="3"/>
        <v>36</v>
      </c>
      <c r="C122" s="50" t="s">
        <v>272</v>
      </c>
      <c r="D122" s="50" t="str">
        <f>" (Note "&amp;A243&amp;" &amp; Attach 2)"</f>
        <v xml:space="preserve"> (Note D &amp; Attach 2)</v>
      </c>
      <c r="E122" s="124">
        <f>+'2a - Cost Support'!H89</f>
        <v>0</v>
      </c>
      <c r="F122" s="11"/>
      <c r="G122" s="51" t="str">
        <f>+G118</f>
        <v>TP=</v>
      </c>
      <c r="H122" s="626">
        <f>+H118</f>
        <v>1</v>
      </c>
      <c r="I122" s="11"/>
      <c r="J122" s="168">
        <f t="shared" si="4"/>
        <v>0</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f t="shared" si="3"/>
        <v>37</v>
      </c>
      <c r="C123" s="50" t="s">
        <v>245</v>
      </c>
      <c r="D123" s="19" t="s">
        <v>1047</v>
      </c>
      <c r="E123" s="124">
        <f>+'2a - Cost Support'!E183</f>
        <v>-56.877458194939322</v>
      </c>
      <c r="F123" s="11"/>
      <c r="G123" s="51" t="str">
        <f>+G119</f>
        <v>TP=</v>
      </c>
      <c r="H123" s="626">
        <f>+H118</f>
        <v>1</v>
      </c>
      <c r="I123" s="11"/>
      <c r="J123" s="168">
        <f t="shared" si="4"/>
        <v>-56.877458194939322</v>
      </c>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+A123+1</f>
        <v>38</v>
      </c>
      <c r="C124" s="50" t="str">
        <f>"TOTAL O&amp;M and A&amp;G  (sum lines "&amp;A118&amp;", "&amp;A120&amp;", "&amp;A122&amp;", "&amp;A123&amp;" less lines "&amp;A119&amp;" &amp; "&amp;A121&amp;")"</f>
        <v>TOTAL O&amp;M and A&amp;G  (sum lines 32, 34, 36, 37 less lines 33 &amp; 35)</v>
      </c>
      <c r="D124" s="19"/>
      <c r="E124" s="175">
        <f>+E118+E120+E122+E123-E119-E121</f>
        <v>654441.18254180509</v>
      </c>
      <c r="F124" s="11"/>
      <c r="G124" s="11"/>
      <c r="H124" s="11"/>
      <c r="I124" s="11"/>
      <c r="J124" s="175">
        <f>+J118+J120+J122+J123-J119-J121</f>
        <v>654441.18254180509</v>
      </c>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c r="D125" s="11"/>
      <c r="E125" s="168"/>
      <c r="F125" s="11"/>
      <c r="G125" s="11"/>
      <c r="H125" s="11"/>
      <c r="I125" s="11"/>
      <c r="J125" s="168"/>
      <c r="K125" s="11"/>
      <c r="L125" s="127"/>
      <c r="M125" s="127"/>
      <c r="N125" s="31"/>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+A124+1</f>
        <v>39</v>
      </c>
      <c r="C126" s="18" t="s">
        <v>504</v>
      </c>
      <c r="D126" s="11"/>
      <c r="E126" s="175"/>
      <c r="F126" s="11"/>
      <c r="G126" s="11"/>
      <c r="H126" s="11"/>
      <c r="I126" s="11"/>
      <c r="J126" s="175"/>
      <c r="K126" s="11"/>
      <c r="L126" s="127"/>
      <c r="M126" s="127"/>
      <c r="N126" s="31"/>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40</v>
      </c>
      <c r="C127" s="18" t="str">
        <f>+C118</f>
        <v xml:space="preserve">  Transmission </v>
      </c>
      <c r="D127" s="19" t="s">
        <v>996</v>
      </c>
      <c r="E127" s="186">
        <v>0</v>
      </c>
      <c r="F127" s="11"/>
      <c r="G127" s="11" t="s">
        <v>22</v>
      </c>
      <c r="H127" s="626">
        <f>+J$194</f>
        <v>1</v>
      </c>
      <c r="I127" s="11"/>
      <c r="J127" s="168">
        <f>+H127*E127</f>
        <v>0</v>
      </c>
      <c r="K127" s="11"/>
      <c r="L127" s="127"/>
      <c r="M127" s="127"/>
      <c r="N127" s="49"/>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41</v>
      </c>
      <c r="C128" s="18" t="s">
        <v>237</v>
      </c>
      <c r="D128" s="19" t="s">
        <v>997</v>
      </c>
      <c r="E128" s="186">
        <v>0</v>
      </c>
      <c r="F128" s="11"/>
      <c r="G128" s="11" t="s">
        <v>33</v>
      </c>
      <c r="H128" s="626">
        <f>+J$200</f>
        <v>1</v>
      </c>
      <c r="I128" s="11"/>
      <c r="J128" s="168">
        <f>+H128*E128</f>
        <v>0</v>
      </c>
      <c r="K128" s="11"/>
      <c r="L128" s="127"/>
      <c r="M128" s="127"/>
      <c r="N128" s="30"/>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f>+A128+1</f>
        <v>42</v>
      </c>
      <c r="C129" s="415" t="s">
        <v>228</v>
      </c>
      <c r="D129" s="416" t="s">
        <v>428</v>
      </c>
      <c r="E129" s="417">
        <f>+'2a - Cost Support'!F9</f>
        <v>1440638.1915789479</v>
      </c>
      <c r="F129" s="418"/>
      <c r="G129" s="418" t="s">
        <v>137</v>
      </c>
      <c r="H129" s="627">
        <v>1</v>
      </c>
      <c r="I129" s="418"/>
      <c r="J129" s="422">
        <f>+H129*E129</f>
        <v>1440638.1915789479</v>
      </c>
      <c r="K129" s="11"/>
      <c r="L129" s="127"/>
      <c r="M129" s="127"/>
      <c r="N129" s="30"/>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+A129+1</f>
        <v>43</v>
      </c>
      <c r="B130" s="7"/>
      <c r="C130" s="412" t="str">
        <f>"TOTAL DEPRECIATION (Sum lines "&amp;A127&amp;"-"&amp;A129&amp;")"</f>
        <v>TOTAL DEPRECIATION (Sum lines 40-42)</v>
      </c>
      <c r="D130" s="11"/>
      <c r="E130" s="175">
        <f>SUM(E127:E129)</f>
        <v>1440638.1915789479</v>
      </c>
      <c r="F130" s="11"/>
      <c r="G130" s="11"/>
      <c r="H130" s="626"/>
      <c r="I130" s="11"/>
      <c r="J130" s="175">
        <f>SUM(J127:J129)</f>
        <v>1440638.1915789479</v>
      </c>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c r="C131" s="18"/>
      <c r="D131" s="11"/>
      <c r="E131" s="175"/>
      <c r="F131" s="11"/>
      <c r="G131" s="11"/>
      <c r="H131" s="626"/>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+A130+1</f>
        <v>44</v>
      </c>
      <c r="C132" s="18" t="str">
        <f>"TAXES OTHER THAN INCOME TAXES  (Note "&amp;A247&amp;")"</f>
        <v>TAXES OTHER THAN INCOME TAXES  (Note E)</v>
      </c>
      <c r="D132" s="26"/>
      <c r="E132" s="175"/>
      <c r="F132" s="11"/>
      <c r="G132" s="11"/>
      <c r="H132" s="626"/>
      <c r="I132" s="11"/>
      <c r="J132" s="175"/>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ref="A133:A139" si="5">+A132+1</f>
        <v>45</v>
      </c>
      <c r="C133" s="18" t="s">
        <v>45</v>
      </c>
      <c r="D133" s="26"/>
      <c r="E133" s="175"/>
      <c r="F133" s="11"/>
      <c r="G133" s="11"/>
      <c r="H133" s="626"/>
      <c r="I133" s="11"/>
      <c r="J133" s="175"/>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46</v>
      </c>
      <c r="C134" s="18" t="s">
        <v>46</v>
      </c>
      <c r="D134" s="52" t="s">
        <v>443</v>
      </c>
      <c r="E134" s="186">
        <v>0</v>
      </c>
      <c r="F134" s="11"/>
      <c r="G134" s="11" t="s">
        <v>33</v>
      </c>
      <c r="H134" s="626">
        <f>+J$200</f>
        <v>1</v>
      </c>
      <c r="I134" s="11"/>
      <c r="J134" s="168">
        <f>+H134*E134</f>
        <v>0</v>
      </c>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47</v>
      </c>
      <c r="C135" s="18" t="s">
        <v>47</v>
      </c>
      <c r="D135" s="52" t="s">
        <v>443</v>
      </c>
      <c r="E135" s="186">
        <v>0</v>
      </c>
      <c r="F135" s="11"/>
      <c r="G135" s="11" t="str">
        <f>+G134</f>
        <v>W/S</v>
      </c>
      <c r="H135" s="626">
        <f>+J$200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48</v>
      </c>
      <c r="C136" s="18" t="s">
        <v>48</v>
      </c>
      <c r="D136" s="53" t="s">
        <v>7</v>
      </c>
      <c r="E136" s="175"/>
      <c r="F136" s="11"/>
      <c r="G136" s="11"/>
      <c r="H136" s="626"/>
      <c r="I136" s="11"/>
      <c r="J136" s="175"/>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49</v>
      </c>
      <c r="C137" s="18" t="s">
        <v>49</v>
      </c>
      <c r="D137" s="52" t="s">
        <v>443</v>
      </c>
      <c r="E137" s="186">
        <v>0</v>
      </c>
      <c r="F137" s="11"/>
      <c r="G137" s="11" t="s">
        <v>41</v>
      </c>
      <c r="H137" s="629">
        <f>+H$62</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 t="shared" si="5"/>
        <v>50</v>
      </c>
      <c r="C138" s="18" t="s">
        <v>50</v>
      </c>
      <c r="D138" s="52" t="s">
        <v>443</v>
      </c>
      <c r="E138" s="186">
        <v>0</v>
      </c>
      <c r="F138" s="11"/>
      <c r="G138" s="19" t="s">
        <v>31</v>
      </c>
      <c r="H138" s="436">
        <v>0</v>
      </c>
      <c r="I138" s="11"/>
      <c r="J138" s="168">
        <f>+H138*E138</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f t="shared" si="5"/>
        <v>51</v>
      </c>
      <c r="C139" s="18" t="s">
        <v>51</v>
      </c>
      <c r="D139" s="52" t="s">
        <v>443</v>
      </c>
      <c r="E139" s="186">
        <v>0</v>
      </c>
      <c r="F139" s="11"/>
      <c r="G139" s="11" t="str">
        <f>+G137</f>
        <v>GP</v>
      </c>
      <c r="H139" s="629">
        <f>+H$62</f>
        <v>1</v>
      </c>
      <c r="I139" s="11"/>
      <c r="J139" s="168">
        <f>+H139*E139</f>
        <v>0</v>
      </c>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+A139+1</f>
        <v>52</v>
      </c>
      <c r="C140" s="18" t="str">
        <f>"TOTAL OTHER TAXES  (sum lines "&amp;A134&amp;"-"&amp;A139&amp;")"</f>
        <v>TOTAL OTHER TAXES  (sum lines 46-51)</v>
      </c>
      <c r="D140" s="11"/>
      <c r="E140" s="175">
        <f>SUM(E134:E139)</f>
        <v>0</v>
      </c>
      <c r="F140" s="11"/>
      <c r="G140" s="11"/>
      <c r="H140" s="626"/>
      <c r="I140" s="11"/>
      <c r="J140" s="175">
        <f>SUM(J134:J139)</f>
        <v>0</v>
      </c>
      <c r="K140" s="11"/>
      <c r="L140" s="127"/>
      <c r="M140" s="127"/>
      <c r="N140" s="31"/>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c r="C141" s="18"/>
      <c r="D141" s="11"/>
      <c r="E141" s="11"/>
      <c r="F141" s="11"/>
      <c r="G141" s="11"/>
      <c r="H141" s="626"/>
      <c r="I141" s="11"/>
      <c r="J141" s="175"/>
      <c r="K141" s="11"/>
      <c r="L141" s="127"/>
      <c r="M141" s="127"/>
      <c r="N141" s="31"/>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+A140+1</f>
        <v>53</v>
      </c>
      <c r="C142" s="18" t="s">
        <v>52</v>
      </c>
      <c r="D142" s="11" t="str">
        <f>" (Note "&amp;A250&amp;")"</f>
        <v xml:space="preserve"> (Note F)</v>
      </c>
      <c r="E142" s="11"/>
      <c r="F142" s="11"/>
      <c r="H142" s="640"/>
      <c r="I142" s="11"/>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ref="A143:A148" si="6">+A142+1</f>
        <v>54</v>
      </c>
      <c r="C143" s="56" t="s">
        <v>53</v>
      </c>
      <c r="D143" s="11"/>
      <c r="E143" s="436">
        <f>IF(E256&gt;0,1-(((1-E257)*(1-E256))/(1-E257*E256*E258)),0)</f>
        <v>0.27983599999999997</v>
      </c>
      <c r="F143" s="11"/>
      <c r="H143" s="55">
        <f>1-E143</f>
        <v>0.72016400000000003</v>
      </c>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55</v>
      </c>
      <c r="C144" s="1" t="s">
        <v>54</v>
      </c>
      <c r="D144" s="11"/>
      <c r="E144" s="436">
        <f>IF(J207&gt;0,(E143/(1-E143))*(1-J204/J207),0)</f>
        <v>0.30732351759753557</v>
      </c>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56</v>
      </c>
      <c r="C145" s="18" t="str">
        <f>"       where WCLTD=(line "&amp;A204&amp;") and R= (line "&amp;A207&amp;")"</f>
        <v xml:space="preserve">       where WCLTD=(line 80) and R= (line 83)</v>
      </c>
      <c r="D145" s="11"/>
      <c r="E145" s="11"/>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57</v>
      </c>
      <c r="C146" s="18" t="str">
        <f>"       and FIT, SIT &amp; p are as given in footnote "&amp;A250&amp;"."</f>
        <v xml:space="preserve">       and FIT, SIT &amp; p are as given in footnote F.</v>
      </c>
      <c r="D146" s="11"/>
      <c r="E146" s="11"/>
      <c r="F146" s="11"/>
      <c r="H146" s="55"/>
      <c r="I146" s="30"/>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f t="shared" si="6"/>
        <v>58</v>
      </c>
      <c r="C147" s="56" t="str">
        <f>"      1 / (1 - T)  = (T from line "&amp;A143&amp;")"</f>
        <v xml:space="preserve">      1 / (1 - T)  = (T from line 54)</v>
      </c>
      <c r="D147" s="11"/>
      <c r="E147" s="436">
        <f>IF(E143&gt;0,1/(1-E143),0)</f>
        <v>1.3885726029071155</v>
      </c>
      <c r="F147" s="11"/>
      <c r="H147" s="55"/>
      <c r="I147" s="30"/>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 t="shared" si="6"/>
        <v>59</v>
      </c>
      <c r="C148" s="18" t="s">
        <v>55</v>
      </c>
      <c r="D148" s="11"/>
      <c r="E148" s="186">
        <v>0</v>
      </c>
      <c r="F148" s="11"/>
      <c r="H148" s="55"/>
      <c r="I148" s="11"/>
      <c r="J148" s="168"/>
      <c r="K148" s="11"/>
      <c r="L148" s="127"/>
      <c r="M148" s="127"/>
      <c r="N148" s="30"/>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14" t="s">
        <v>1173</v>
      </c>
      <c r="B149" s="7"/>
      <c r="C149" s="18" t="s">
        <v>1174</v>
      </c>
      <c r="D149" s="88" t="s">
        <v>1203</v>
      </c>
      <c r="E149" s="124">
        <f>+'6c-EDIT'!G38</f>
        <v>0</v>
      </c>
      <c r="F149" s="11"/>
      <c r="H149" s="55"/>
      <c r="I149" s="11"/>
      <c r="J149" s="168"/>
      <c r="K149" s="11"/>
      <c r="L149" s="127"/>
      <c r="M149" s="127"/>
      <c r="N149" s="30"/>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14"/>
      <c r="B150" s="7"/>
      <c r="C150" s="18"/>
      <c r="D150" s="11"/>
      <c r="E150" s="175"/>
      <c r="F150" s="11"/>
      <c r="H150" s="55"/>
      <c r="I150" s="11"/>
      <c r="J150" s="168"/>
      <c r="K150" s="11"/>
      <c r="L150" s="127"/>
      <c r="M150" s="127"/>
      <c r="N150" s="30"/>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14">
        <f>+A148+1</f>
        <v>60</v>
      </c>
      <c r="B151" s="7"/>
      <c r="C151" s="56" t="str">
        <f>"Income Tax Calculation = line "&amp;A144&amp;" * line "&amp;A157&amp;""</f>
        <v>Income Tax Calculation = line 55 * line 64</v>
      </c>
      <c r="D151" s="57"/>
      <c r="E151" s="175">
        <f>+E144*E157</f>
        <v>95958.989922615801</v>
      </c>
      <c r="F151" s="11"/>
      <c r="G151" s="11" t="s">
        <v>31</v>
      </c>
      <c r="H151" s="21"/>
      <c r="I151" s="11"/>
      <c r="J151" s="175">
        <f>+E144*J157</f>
        <v>95958.989922615801</v>
      </c>
      <c r="K151" s="11"/>
      <c r="L151" s="127"/>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14">
        <f>+A151+1</f>
        <v>61</v>
      </c>
      <c r="B152" s="7"/>
      <c r="C152" s="56" t="str">
        <f>"ITC adjustment (line "&amp;A147&amp;" * line "&amp;A148&amp;")"</f>
        <v>ITC adjustment (line 58 * line 59)</v>
      </c>
      <c r="D152" s="57"/>
      <c r="E152" s="175">
        <f>+E147*E148</f>
        <v>0</v>
      </c>
      <c r="F152" s="11"/>
      <c r="G152" s="11" t="s">
        <v>37</v>
      </c>
      <c r="H152" s="21">
        <f>+H$72</f>
        <v>1</v>
      </c>
      <c r="I152" s="11"/>
      <c r="J152" s="175">
        <f>+H152*E152</f>
        <v>0</v>
      </c>
      <c r="K152" s="11"/>
      <c r="L152" s="127"/>
      <c r="M152" s="127"/>
      <c r="N152" s="31"/>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14" t="s">
        <v>1202</v>
      </c>
      <c r="B153" s="7"/>
      <c r="C153" s="415" t="s">
        <v>1177</v>
      </c>
      <c r="D153" s="424" t="s">
        <v>1178</v>
      </c>
      <c r="E153" s="419">
        <f>+E147*E149</f>
        <v>0</v>
      </c>
      <c r="F153" s="1559"/>
      <c r="G153" s="1560"/>
      <c r="H153" s="1561">
        <f>+H$72</f>
        <v>1</v>
      </c>
      <c r="I153" s="1559"/>
      <c r="J153" s="1558">
        <f>+H153*E153</f>
        <v>0</v>
      </c>
      <c r="K153" s="11"/>
      <c r="L153" s="127"/>
      <c r="M153" s="127"/>
      <c r="N153" s="31"/>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14">
        <f>+A152+1</f>
        <v>62</v>
      </c>
      <c r="B154" s="7"/>
      <c r="C154" s="59" t="s">
        <v>56</v>
      </c>
      <c r="D154" s="7" t="str">
        <f>"(line "&amp;A151&amp;" + line "&amp;A152&amp;" + line "&amp;A153&amp;")"</f>
        <v>(line 60 + line 61 + line 61a)</v>
      </c>
      <c r="E154" s="185">
        <f>+E152+E151+E153</f>
        <v>95958.989922615801</v>
      </c>
      <c r="F154" s="11"/>
      <c r="G154" s="11" t="s">
        <v>7</v>
      </c>
      <c r="H154" s="21" t="s">
        <v>7</v>
      </c>
      <c r="I154" s="11"/>
      <c r="J154" s="1562">
        <f>+J151+J152+J153</f>
        <v>95958.989922615801</v>
      </c>
      <c r="K154" s="11"/>
      <c r="L154" s="771"/>
      <c r="M154" s="127"/>
      <c r="N154" s="31"/>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12"/>
      <c r="D155" s="61"/>
      <c r="E155" s="175"/>
      <c r="F155" s="11"/>
      <c r="G155" s="11"/>
      <c r="H155" s="21"/>
      <c r="I155" s="11"/>
      <c r="J155" s="175"/>
      <c r="K155" s="11"/>
      <c r="L155" s="771"/>
      <c r="M155" s="127"/>
      <c r="N155" s="31"/>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12">
        <f>+A154+1</f>
        <v>63</v>
      </c>
      <c r="C156" s="18" t="s">
        <v>57</v>
      </c>
      <c r="D156" s="42"/>
      <c r="E156" s="168"/>
      <c r="H156" s="55"/>
      <c r="I156" s="11"/>
      <c r="K156" s="11"/>
      <c r="L156" s="771"/>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12">
        <f>+A156+1</f>
        <v>64</v>
      </c>
      <c r="C157" s="59" t="str">
        <f>"  [ Rate Base (line "&amp;A91&amp;") * Rate of Return (line "&amp;A207&amp;")]"</f>
        <v xml:space="preserve">  [ Rate Base (line 30) * Rate of Return (line 83)]</v>
      </c>
      <c r="D157" s="26"/>
      <c r="E157" s="175">
        <f>+J207*E91</f>
        <v>312240.95921055309</v>
      </c>
      <c r="F157" s="11"/>
      <c r="G157" s="11" t="s">
        <v>31</v>
      </c>
      <c r="H157" s="55"/>
      <c r="I157" s="11"/>
      <c r="J157" s="175">
        <f>+J91*J207</f>
        <v>312240.95921055309</v>
      </c>
      <c r="K157" s="11"/>
      <c r="L157" s="771"/>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50"/>
      <c r="K158" s="11"/>
      <c r="L158" s="771"/>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c r="A159" s="86">
        <f>+A157+1</f>
        <v>65</v>
      </c>
      <c r="C159" s="18" t="str">
        <f>"Rev Requirement before Incenitive Projects  (sum lines "&amp;A124&amp;", "&amp;A130&amp;", "&amp;A140&amp;", "&amp;A154&amp;", "&amp;A157&amp;")"</f>
        <v>Rev Requirement before Incenitive Projects  (sum lines 38, 43, 52, 62, 64)</v>
      </c>
      <c r="D159" s="26"/>
      <c r="E159" s="750">
        <f>+E124+E130+E140+E154+E157</f>
        <v>2503279.3232539222</v>
      </c>
      <c r="F159" s="127"/>
      <c r="G159" s="127"/>
      <c r="H159" s="751"/>
      <c r="I159" s="127"/>
      <c r="J159" s="750">
        <f>+J124+J130+J140+J154+J157</f>
        <v>2503279.3232539222</v>
      </c>
      <c r="K159" s="11"/>
      <c r="L159" s="771"/>
      <c r="M159" s="127"/>
      <c r="N159" s="30"/>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c r="A160" s="86"/>
      <c r="C160" s="18"/>
      <c r="D160" s="26"/>
      <c r="E160" s="839"/>
      <c r="F160" s="127"/>
      <c r="G160" s="127"/>
      <c r="H160" s="751"/>
      <c r="I160" s="127"/>
      <c r="J160" s="750"/>
      <c r="K160" s="11"/>
      <c r="L160" s="771"/>
      <c r="M160" s="127"/>
      <c r="N160" s="30"/>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row>
    <row r="161" spans="1:61">
      <c r="A161" s="86">
        <f>+A159+1</f>
        <v>66</v>
      </c>
      <c r="C161" s="18" t="s">
        <v>481</v>
      </c>
      <c r="E161" s="161">
        <f>+'4 - Cap Adds'!K30</f>
        <v>-12397.376163432607</v>
      </c>
      <c r="F161" s="11"/>
      <c r="G161" s="11" t="s">
        <v>137</v>
      </c>
      <c r="H161" s="752">
        <v>1</v>
      </c>
      <c r="I161" s="11"/>
      <c r="J161" s="750">
        <f>+H161*E161</f>
        <v>-12397.376163432607</v>
      </c>
      <c r="K161" s="26" t="s">
        <v>476</v>
      </c>
      <c r="L161" s="127"/>
      <c r="M161" s="127"/>
      <c r="N161" s="30"/>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row>
    <row r="162" spans="1:61">
      <c r="A162" s="12"/>
      <c r="C162" s="18"/>
      <c r="D162" s="26"/>
      <c r="E162" s="127"/>
      <c r="F162" s="11"/>
      <c r="G162" s="11"/>
      <c r="H162" s="55"/>
      <c r="I162" s="11"/>
      <c r="J162" s="750"/>
      <c r="K162" s="11"/>
      <c r="L162" s="127"/>
      <c r="M162" s="127"/>
      <c r="N162" s="30"/>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row>
    <row r="163" spans="1:61" ht="15.75" thickBot="1">
      <c r="A163" s="12">
        <f>+A161+1</f>
        <v>67</v>
      </c>
      <c r="C163" s="18" t="str">
        <f>"Total Revenue Requirement  (sum lines "&amp;A159&amp;" &amp; "&amp;A161&amp;")"</f>
        <v>Total Revenue Requirement  (sum lines 65 &amp; 66)</v>
      </c>
      <c r="D163" s="11"/>
      <c r="E163" s="176">
        <f>+E159+E161</f>
        <v>2490881.9470904898</v>
      </c>
      <c r="F163" s="11"/>
      <c r="G163" s="11"/>
      <c r="H163" s="11"/>
      <c r="I163" s="11"/>
      <c r="J163" s="176">
        <f>+J159+J161</f>
        <v>2490881.9470904898</v>
      </c>
      <c r="K163" s="11"/>
      <c r="L163" s="437"/>
      <c r="M163" s="127"/>
      <c r="N163" s="31"/>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row>
    <row r="164" spans="1:61" ht="15.75" thickTop="1">
      <c r="A164" s="12"/>
      <c r="C164" s="63"/>
      <c r="D164" s="63"/>
      <c r="E164" s="63"/>
      <c r="F164" s="63"/>
      <c r="G164" s="63"/>
      <c r="H164" s="63"/>
      <c r="I164" s="63"/>
      <c r="J164" s="63"/>
      <c r="K164" s="155"/>
      <c r="L164" s="154"/>
      <c r="M164" s="154"/>
      <c r="N164" s="63"/>
      <c r="O164" s="63"/>
      <c r="P164" s="63"/>
      <c r="Q164" s="63"/>
    </row>
    <row r="165" spans="1:61">
      <c r="A165" s="12"/>
      <c r="C165" s="26"/>
      <c r="D165" s="63"/>
      <c r="E165" s="63"/>
      <c r="F165" s="63"/>
      <c r="G165" s="63"/>
      <c r="H165" s="63"/>
      <c r="I165" s="63"/>
      <c r="J165" s="63"/>
      <c r="K165" s="63"/>
      <c r="L165" s="155"/>
      <c r="M165" s="155"/>
      <c r="N165" s="63"/>
      <c r="O165" s="63"/>
      <c r="P165" s="63"/>
      <c r="Q165" s="63"/>
    </row>
    <row r="166" spans="1:61">
      <c r="A166" s="12"/>
      <c r="C166" s="113"/>
      <c r="D166" s="63"/>
      <c r="E166" s="63"/>
      <c r="F166" s="63"/>
      <c r="G166" s="63"/>
      <c r="H166" s="63"/>
      <c r="I166" s="63"/>
      <c r="J166" s="63"/>
      <c r="K166" s="63"/>
      <c r="L166" s="155"/>
      <c r="M166" s="155"/>
      <c r="N166" s="63"/>
      <c r="O166" s="63"/>
      <c r="P166" s="63"/>
      <c r="Q166" s="63"/>
    </row>
    <row r="167" spans="1:61">
      <c r="A167" s="12"/>
      <c r="C167" s="115"/>
      <c r="D167" s="63"/>
      <c r="E167" s="63"/>
      <c r="F167" s="63"/>
      <c r="G167" s="63"/>
      <c r="H167" s="63"/>
      <c r="I167" s="63"/>
      <c r="J167" s="63"/>
      <c r="K167" s="63"/>
      <c r="L167" s="155"/>
      <c r="M167" s="155"/>
      <c r="N167" s="63"/>
      <c r="O167" s="63"/>
      <c r="P167" s="63"/>
      <c r="Q167" s="63"/>
    </row>
    <row r="168" spans="1:61">
      <c r="A168" s="12"/>
      <c r="C168" s="115"/>
      <c r="D168" s="63"/>
      <c r="E168" s="63"/>
      <c r="F168" s="63"/>
      <c r="G168" s="63"/>
      <c r="H168" s="63"/>
      <c r="I168" s="63"/>
      <c r="J168" s="63"/>
      <c r="K168" s="63"/>
      <c r="L168" s="63"/>
      <c r="M168" s="63"/>
      <c r="N168" s="63"/>
      <c r="O168" s="63"/>
      <c r="P168" s="63"/>
      <c r="Q168" s="63"/>
    </row>
    <row r="169" spans="1:61">
      <c r="A169" s="12"/>
      <c r="C169" s="115"/>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110"/>
      <c r="D171" s="63"/>
      <c r="E171" s="63"/>
      <c r="F171" s="63"/>
      <c r="G171" s="63"/>
      <c r="H171" s="63"/>
      <c r="I171" s="63"/>
      <c r="J171" s="63"/>
      <c r="K171" s="63"/>
      <c r="L171" s="63"/>
      <c r="M171" s="63"/>
      <c r="N171" s="63"/>
      <c r="O171" s="63"/>
      <c r="P171" s="63"/>
      <c r="Q171" s="63"/>
    </row>
    <row r="172" spans="1:61">
      <c r="A172" s="12"/>
      <c r="C172" s="64"/>
      <c r="D172" s="63"/>
      <c r="E172" s="63"/>
      <c r="F172" s="63"/>
      <c r="G172" s="63"/>
      <c r="H172" s="63"/>
      <c r="I172" s="63"/>
      <c r="J172" s="63"/>
      <c r="K172" s="63"/>
      <c r="L172" s="63"/>
      <c r="M172" s="63"/>
      <c r="N172" s="63"/>
      <c r="O172" s="63"/>
      <c r="P172" s="63"/>
      <c r="Q172" s="63"/>
    </row>
    <row r="173" spans="1:61">
      <c r="A173" s="12"/>
      <c r="C173" s="113"/>
      <c r="D173" s="63"/>
      <c r="E173" s="63"/>
      <c r="F173" s="63"/>
      <c r="G173" s="63"/>
      <c r="H173" s="63"/>
      <c r="I173" s="63"/>
      <c r="J173" s="63"/>
      <c r="K173" s="63"/>
      <c r="L173" s="63"/>
      <c r="M173" s="63"/>
      <c r="N173" s="63"/>
      <c r="O173" s="63"/>
      <c r="P173" s="63"/>
      <c r="Q173" s="63"/>
    </row>
    <row r="174" spans="1:61">
      <c r="A174" s="12"/>
      <c r="C174" s="110"/>
      <c r="D174" s="63"/>
      <c r="E174" s="63"/>
      <c r="F174" s="63"/>
      <c r="G174" s="63"/>
      <c r="H174" s="63"/>
      <c r="I174" s="63"/>
      <c r="J174" s="63"/>
      <c r="K174" s="63"/>
      <c r="L174" s="63"/>
      <c r="M174" s="63"/>
      <c r="N174" s="63"/>
      <c r="O174" s="63"/>
      <c r="P174" s="63"/>
      <c r="Q174" s="63"/>
    </row>
    <row r="175" spans="1:61">
      <c r="A175" s="12"/>
      <c r="C175" s="26"/>
      <c r="D175" s="63"/>
      <c r="E175" s="63"/>
      <c r="F175" s="63"/>
      <c r="G175" s="63"/>
      <c r="H175" s="63"/>
      <c r="I175" s="63"/>
      <c r="J175" s="63"/>
      <c r="K175" s="63"/>
      <c r="L175" s="63"/>
      <c r="M175" s="63"/>
      <c r="N175" s="63"/>
      <c r="O175" s="63"/>
      <c r="P175" s="63"/>
      <c r="Q175" s="63"/>
    </row>
    <row r="176" spans="1:61">
      <c r="A176" s="12"/>
      <c r="C176" s="2"/>
      <c r="D176" s="2"/>
      <c r="E176" s="3"/>
      <c r="F176" s="2"/>
      <c r="G176" s="2"/>
      <c r="H176" s="2"/>
      <c r="I176" s="2"/>
      <c r="J176" s="2"/>
      <c r="K176" s="4"/>
      <c r="L176" s="4"/>
      <c r="M176" s="5"/>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c r="D177" s="2"/>
      <c r="E177" s="3"/>
      <c r="F177" s="2"/>
      <c r="G177" s="2"/>
      <c r="H177" s="2"/>
      <c r="I177" s="8"/>
      <c r="J177" s="5"/>
      <c r="K177" s="5"/>
      <c r="L177" s="5"/>
      <c r="M177" s="5" t="s">
        <v>495</v>
      </c>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2"/>
      <c r="E178" s="3"/>
      <c r="F178" s="2"/>
      <c r="G178" s="2"/>
      <c r="H178" s="2"/>
      <c r="I178" s="8"/>
      <c r="J178" s="9"/>
      <c r="K178" s="9"/>
      <c r="L178" s="9"/>
      <c r="M178" s="9" t="s">
        <v>433</v>
      </c>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
      <c r="D179" s="2"/>
      <c r="E179" s="3"/>
      <c r="F179" s="2"/>
      <c r="G179" s="2"/>
      <c r="H179" s="2"/>
      <c r="I179" s="8"/>
      <c r="J179" s="8"/>
      <c r="K179" s="10"/>
      <c r="L179" s="9"/>
      <c r="M179" s="9"/>
      <c r="N179" s="6"/>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c r="A180" s="12"/>
      <c r="C180" s="2"/>
      <c r="D180" s="2"/>
      <c r="E180" s="3"/>
      <c r="F180" s="2"/>
      <c r="G180" s="2"/>
      <c r="H180" s="2"/>
      <c r="I180" s="8"/>
      <c r="J180" s="8"/>
      <c r="K180" s="10"/>
      <c r="L180" s="9"/>
      <c r="M180" s="6"/>
      <c r="N180" s="6"/>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c r="A181" s="12"/>
      <c r="C181" s="2" t="s">
        <v>6</v>
      </c>
      <c r="D181" s="116"/>
      <c r="E181" s="4" t="s">
        <v>107</v>
      </c>
      <c r="F181" s="2"/>
      <c r="G181" s="2"/>
      <c r="H181" s="2"/>
      <c r="I181" s="8"/>
      <c r="K181" s="10"/>
      <c r="L181" s="10"/>
      <c r="M181" s="6"/>
      <c r="N181" s="6"/>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c r="A182" s="12"/>
      <c r="C182" s="2"/>
      <c r="D182" s="11"/>
      <c r="E182" s="79" t="s">
        <v>8</v>
      </c>
      <c r="F182" s="11"/>
      <c r="G182" s="11"/>
      <c r="H182" s="11"/>
      <c r="I182" s="8"/>
      <c r="J182" s="8"/>
      <c r="K182" s="10"/>
      <c r="L182" s="10"/>
      <c r="M182" s="6"/>
      <c r="N182" s="6"/>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c r="C183" s="26"/>
      <c r="D183" s="26"/>
      <c r="E183" s="26"/>
      <c r="F183" s="26"/>
      <c r="G183" s="26"/>
      <c r="H183" s="26"/>
      <c r="I183" s="26"/>
      <c r="J183" s="26"/>
      <c r="K183" s="339"/>
      <c r="L183" s="340"/>
      <c r="M183" s="338" t="str">
        <f>+M110</f>
        <v>For the 12 months ended 12/31/2020, Excess Deferred Update</v>
      </c>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ht="15.75">
      <c r="A184" s="12"/>
      <c r="D184" s="26"/>
      <c r="E184" s="37" t="str">
        <f>E8</f>
        <v>MidAmerican Central California Transco, LLC</v>
      </c>
      <c r="F184" s="26"/>
      <c r="G184" s="26"/>
      <c r="H184" s="26"/>
      <c r="I184" s="26"/>
      <c r="J184" s="26"/>
      <c r="K184" s="11"/>
      <c r="M184" s="426"/>
      <c r="N184" s="31"/>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ht="15.75">
      <c r="A185" s="12"/>
      <c r="C185" s="26"/>
      <c r="E185" s="48" t="s">
        <v>285</v>
      </c>
      <c r="F185" s="10"/>
      <c r="G185" s="10"/>
      <c r="H185" s="10"/>
      <c r="I185" s="10"/>
      <c r="J185" s="10"/>
      <c r="K185" s="11"/>
      <c r="L185" s="11"/>
      <c r="M185" s="6"/>
      <c r="N185" s="31"/>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ht="15.75">
      <c r="A186" s="12"/>
      <c r="C186" s="40"/>
      <c r="D186" s="10"/>
      <c r="E186" s="10"/>
      <c r="F186" s="10"/>
      <c r="G186" s="10"/>
      <c r="H186" s="10"/>
      <c r="I186" s="10"/>
      <c r="J186" s="10"/>
      <c r="K186" s="11"/>
      <c r="L186" s="11"/>
      <c r="M186" s="6"/>
      <c r="N186" s="31"/>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c r="A187" s="12">
        <f>+A163+1</f>
        <v>68</v>
      </c>
      <c r="C187" s="65" t="s">
        <v>289</v>
      </c>
      <c r="D187" s="66"/>
      <c r="E187" s="66"/>
      <c r="F187" s="66"/>
      <c r="G187" s="66"/>
      <c r="H187" s="66"/>
      <c r="I187" s="67"/>
      <c r="J187" s="68"/>
      <c r="K187" s="60"/>
      <c r="L187" s="60"/>
      <c r="M187" s="70"/>
      <c r="N187" s="31"/>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c r="C188" s="65"/>
      <c r="D188" s="66"/>
      <c r="E188" s="66"/>
      <c r="F188" s="66"/>
      <c r="G188" s="66"/>
      <c r="H188" s="66"/>
      <c r="I188" s="66"/>
      <c r="J188" s="60"/>
      <c r="K188" s="60"/>
      <c r="L188" s="60"/>
      <c r="M188" s="69"/>
      <c r="N188" s="71"/>
      <c r="O188" s="72"/>
      <c r="P188" s="72"/>
      <c r="Q188" s="72"/>
      <c r="R188" s="72"/>
      <c r="S188" s="72"/>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f>+A187+1</f>
        <v>69</v>
      </c>
      <c r="C189" s="28" t="str">
        <f>"Total transmission plant    (line "&amp;A60&amp;", column 3)"</f>
        <v>Total transmission plant    (line 5, column 3)</v>
      </c>
      <c r="D189" s="66"/>
      <c r="E189" s="19"/>
      <c r="F189" s="19"/>
      <c r="G189" s="19"/>
      <c r="H189" s="19"/>
      <c r="I189" s="19"/>
      <c r="J189" s="628">
        <f>+E60</f>
        <v>0</v>
      </c>
      <c r="K189" s="19"/>
      <c r="L189" s="19"/>
      <c r="M189" s="19"/>
      <c r="N189" s="71"/>
      <c r="O189" s="72"/>
      <c r="P189" s="72"/>
      <c r="Q189" s="72"/>
      <c r="R189" s="72"/>
      <c r="S189" s="72"/>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+A189+1</f>
        <v>70</v>
      </c>
      <c r="C190" s="28" t="str">
        <f>"Less transmission plant excluded from CAISO rates       (Note "&amp;A264&amp;")"</f>
        <v>Less transmission plant excluded from CAISO rates       (Note H)</v>
      </c>
      <c r="D190" s="62"/>
      <c r="E190" s="62"/>
      <c r="F190" s="62"/>
      <c r="G190" s="62"/>
      <c r="H190" s="62"/>
      <c r="I190" s="62"/>
      <c r="J190" s="631">
        <f>+'2a - Cost Support'!G109</f>
        <v>0</v>
      </c>
      <c r="K190" s="19"/>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ht="15.75" thickBot="1">
      <c r="A191" s="12">
        <f>+A190+1</f>
        <v>71</v>
      </c>
      <c r="C191" s="73" t="str">
        <f>"Less transmission plant included in OATT Ancillary Services    (Note "&amp;A264&amp;")"</f>
        <v>Less transmission plant included in OATT Ancillary Services    (Note H)</v>
      </c>
      <c r="D191" s="74"/>
      <c r="E191" s="58"/>
      <c r="F191" s="19"/>
      <c r="G191" s="19"/>
      <c r="H191" s="75"/>
      <c r="I191" s="19"/>
      <c r="J191" s="633">
        <v>0</v>
      </c>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+A191+1</f>
        <v>72</v>
      </c>
      <c r="C192" s="28" t="str">
        <f>"Transmission plant included in RTO rates  (line "&amp;A189&amp;" less lines "&amp;A190&amp;" &amp; "&amp;A191&amp;")"</f>
        <v>Transmission plant included in RTO rates  (line 69 less lines 70 &amp; 71)</v>
      </c>
      <c r="D192" s="66"/>
      <c r="E192" s="19"/>
      <c r="F192" s="19"/>
      <c r="G192" s="19"/>
      <c r="H192" s="75"/>
      <c r="I192" s="19"/>
      <c r="J192" s="628">
        <f>+J189-J190-J191</f>
        <v>0</v>
      </c>
      <c r="K192" s="19"/>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c r="A193" s="12"/>
      <c r="C193" s="62"/>
      <c r="D193" s="66"/>
      <c r="E193" s="19"/>
      <c r="F193" s="19"/>
      <c r="G193" s="19"/>
      <c r="H193" s="75"/>
      <c r="I193" s="19"/>
      <c r="J193" s="67"/>
      <c r="K193" s="19"/>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+A192+1</f>
        <v>73</v>
      </c>
      <c r="C194" s="28" t="str">
        <f>"Percentage of transmission plant included in RTO Rates (line "&amp;A192&amp;" divided by line "&amp;A189&amp;") [If line "&amp;A189&amp;" equal zero, enter 1)"</f>
        <v>Percentage of transmission plant included in RTO Rates (line 72 divided by line 69) [If line 69 equal zero, enter 1)</v>
      </c>
      <c r="D194" s="76"/>
      <c r="E194" s="77"/>
      <c r="F194" s="77"/>
      <c r="G194" s="77"/>
      <c r="H194" s="78"/>
      <c r="I194" s="19" t="s">
        <v>59</v>
      </c>
      <c r="J194" s="436">
        <f>IF(J189=0,1,J192/J189)</f>
        <v>1</v>
      </c>
      <c r="K194" s="43"/>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c r="A195" s="12"/>
      <c r="C195" s="67"/>
      <c r="D195" s="67"/>
      <c r="E195" s="67"/>
      <c r="F195" s="67"/>
      <c r="G195" s="67"/>
      <c r="H195" s="67"/>
      <c r="I195" s="67"/>
      <c r="J195" s="67"/>
      <c r="K195" s="19"/>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+A194+1</f>
        <v>74</v>
      </c>
      <c r="C196" s="18" t="s">
        <v>301</v>
      </c>
      <c r="D196" s="11"/>
      <c r="F196" s="11"/>
      <c r="G196" s="11"/>
      <c r="H196" s="19"/>
      <c r="I196" s="60"/>
      <c r="J196" s="80"/>
      <c r="K196" s="6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ht="15.75" thickBot="1">
      <c r="A197" s="12">
        <f>+A196+1</f>
        <v>75</v>
      </c>
      <c r="C197" s="18"/>
      <c r="D197" s="24" t="s">
        <v>60</v>
      </c>
      <c r="E197" s="81" t="s">
        <v>61</v>
      </c>
      <c r="F197" s="81" t="s">
        <v>22</v>
      </c>
      <c r="G197" s="11"/>
      <c r="H197" s="81" t="s">
        <v>62</v>
      </c>
      <c r="I197" s="11"/>
      <c r="J197" s="67"/>
      <c r="K197" s="67"/>
      <c r="L197" s="67"/>
      <c r="M197" s="54"/>
      <c r="N197" s="3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+A197+1</f>
        <v>76</v>
      </c>
      <c r="C198" s="18" t="s">
        <v>32</v>
      </c>
      <c r="D198" s="11" t="s">
        <v>277</v>
      </c>
      <c r="E198" s="631">
        <v>0</v>
      </c>
      <c r="F198" s="632">
        <f>+J194</f>
        <v>1</v>
      </c>
      <c r="H198" s="624">
        <f>+F198*E198</f>
        <v>0</v>
      </c>
      <c r="I198" s="11"/>
      <c r="J198" s="67"/>
      <c r="K198" s="19"/>
      <c r="L198" s="19"/>
      <c r="M198" s="54"/>
      <c r="N198" s="83"/>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f>+A198+1</f>
        <v>77</v>
      </c>
      <c r="C199" s="18" t="s">
        <v>63</v>
      </c>
      <c r="D199" s="11" t="s">
        <v>278</v>
      </c>
      <c r="E199" s="633">
        <v>0</v>
      </c>
      <c r="F199" s="82"/>
      <c r="G199" s="82"/>
      <c r="H199" s="634"/>
      <c r="I199" s="11"/>
      <c r="J199" s="85" t="s">
        <v>64</v>
      </c>
      <c r="K199" s="19"/>
      <c r="L199" s="19"/>
      <c r="M199" s="54"/>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+A199+1</f>
        <v>78</v>
      </c>
      <c r="C200" s="18" t="str">
        <f>"  Total  (sum lines "&amp;A198&amp;"-"&amp;A199&amp;") [TP equals 1 if there are no wages &amp; salaries]"</f>
        <v xml:space="preserve">  Total  (sum lines 76-77) [TP equals 1 if there are no wages &amp; salaries]</v>
      </c>
      <c r="D200" s="11"/>
      <c r="E200" s="624">
        <f>SUM(E198:E199)</f>
        <v>0</v>
      </c>
      <c r="F200" s="11"/>
      <c r="G200" s="11"/>
      <c r="H200" s="624">
        <f>SUM(H198:H199)</f>
        <v>0</v>
      </c>
      <c r="I200" s="32" t="s">
        <v>65</v>
      </c>
      <c r="J200" s="629">
        <f>IF(E200=0,1,H200/E200)</f>
        <v>1</v>
      </c>
      <c r="K200" s="75" t="s">
        <v>65</v>
      </c>
      <c r="L200" s="75" t="s">
        <v>66</v>
      </c>
      <c r="M200" s="54"/>
      <c r="N200" s="31"/>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c r="B201" s="45"/>
      <c r="C201" s="2"/>
      <c r="D201" s="11"/>
      <c r="E201" s="11"/>
      <c r="F201" s="11"/>
      <c r="G201" s="11"/>
      <c r="H201" s="11"/>
      <c r="I201" s="11"/>
      <c r="J201" s="11"/>
      <c r="K201" s="11"/>
      <c r="L201" s="158"/>
      <c r="M201" s="149"/>
      <c r="N201" s="7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c r="A202" s="12">
        <f>+A200+1</f>
        <v>79</v>
      </c>
      <c r="B202" s="45"/>
      <c r="C202" s="65" t="str">
        <f>"RETURN (R)      (Note "&amp;A268&amp;")"</f>
        <v>RETURN (R)      (Note J)</v>
      </c>
      <c r="D202" s="19"/>
      <c r="E202" s="117"/>
      <c r="F202" s="117"/>
      <c r="G202" s="45"/>
      <c r="H202" s="45"/>
      <c r="I202" s="45"/>
      <c r="J202" s="11"/>
      <c r="K202" s="11"/>
      <c r="L202" s="127"/>
      <c r="M202" s="136"/>
      <c r="N202" s="31"/>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ht="15.75" thickBot="1">
      <c r="A203" s="12"/>
      <c r="C203" s="50"/>
      <c r="D203" s="19"/>
      <c r="E203" s="16" t="s">
        <v>61</v>
      </c>
      <c r="F203" s="16" t="s">
        <v>68</v>
      </c>
      <c r="G203" s="11"/>
      <c r="H203" s="81" t="s">
        <v>67</v>
      </c>
      <c r="I203" s="11"/>
      <c r="J203" s="16" t="s">
        <v>69</v>
      </c>
      <c r="K203" s="11"/>
      <c r="L203" s="127"/>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A204" s="12">
        <f>+A202+1</f>
        <v>80</v>
      </c>
      <c r="C204" s="65" t="s">
        <v>1048</v>
      </c>
      <c r="D204" s="19"/>
      <c r="E204" s="635">
        <f>+'2b - Cost Support'!Q15</f>
        <v>0</v>
      </c>
      <c r="F204" s="842">
        <v>0.48</v>
      </c>
      <c r="G204" s="87"/>
      <c r="H204" s="1151">
        <f>'5-Construction Loan'!I46</f>
        <v>2.9500000000000002E-2</v>
      </c>
      <c r="J204" s="625">
        <f>+H204*F204</f>
        <v>1.4160000000000001E-2</v>
      </c>
      <c r="K204" s="88" t="s">
        <v>70</v>
      </c>
      <c r="L204" s="125"/>
      <c r="M204" s="136"/>
      <c r="N204" s="83"/>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A205" s="12">
        <f>+A204+1</f>
        <v>81</v>
      </c>
      <c r="C205" s="65" t="s">
        <v>1049</v>
      </c>
      <c r="D205" s="19"/>
      <c r="E205" s="628">
        <f>+'2b - Cost Support'!Q17</f>
        <v>0</v>
      </c>
      <c r="F205" s="843">
        <f>IF(E$207=0,0,E205/E$207)</f>
        <v>0</v>
      </c>
      <c r="G205" s="87"/>
      <c r="H205" s="624">
        <f>+'2b - Cost Support'!P41</f>
        <v>0</v>
      </c>
      <c r="J205" s="625">
        <f>+H205*F205</f>
        <v>0</v>
      </c>
      <c r="K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thickBot="1">
      <c r="A206" s="12">
        <f>+A205+1</f>
        <v>82</v>
      </c>
      <c r="C206" s="65" t="s">
        <v>1056</v>
      </c>
      <c r="D206" s="19"/>
      <c r="E206" s="636">
        <f>+'2b - Cost Support'!Q23</f>
        <v>6013325.7723076921</v>
      </c>
      <c r="F206" s="842">
        <v>0.52</v>
      </c>
      <c r="G206" s="87"/>
      <c r="H206" s="863">
        <v>0.10299999999999999</v>
      </c>
      <c r="J206" s="637">
        <f>+H206*F206</f>
        <v>5.3559999999999997E-2</v>
      </c>
      <c r="K206" s="11"/>
      <c r="L206" s="125"/>
      <c r="M206" s="136"/>
      <c r="N206" s="83"/>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12">
        <f>+A206+1</f>
        <v>83</v>
      </c>
      <c r="C207" s="18" t="str">
        <f>"Total  (sum lines "&amp;A204&amp;"-"&amp;A206&amp;")"</f>
        <v>Total  (sum lines 80-82)</v>
      </c>
      <c r="E207" s="624">
        <f>SUM(E204:E206)</f>
        <v>6013325.7723076921</v>
      </c>
      <c r="F207" s="11" t="s">
        <v>7</v>
      </c>
      <c r="G207" s="11"/>
      <c r="H207" s="11"/>
      <c r="I207" s="11"/>
      <c r="J207" s="625">
        <f>SUM(J204:J206)</f>
        <v>6.7720000000000002E-2</v>
      </c>
      <c r="K207" s="88" t="s">
        <v>71</v>
      </c>
      <c r="L207" s="125"/>
      <c r="M207" s="136"/>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F208" s="11"/>
      <c r="G208" s="11"/>
      <c r="H208" s="11"/>
      <c r="I208" s="11"/>
      <c r="L208" s="125"/>
      <c r="M208" s="136"/>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F209" s="11"/>
      <c r="G209" s="11"/>
      <c r="H209" s="11"/>
      <c r="I209" s="11"/>
      <c r="L209" s="125"/>
      <c r="M209" s="136"/>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ht="15.75">
      <c r="A210" s="67"/>
      <c r="B210" s="67"/>
      <c r="C210" s="686" t="s">
        <v>952</v>
      </c>
      <c r="D210" s="67"/>
      <c r="E210" s="67"/>
      <c r="F210" s="19"/>
      <c r="G210" s="19"/>
      <c r="H210" s="75" t="s">
        <v>459</v>
      </c>
      <c r="I210" s="75"/>
      <c r="J210" s="832"/>
      <c r="K210" s="67"/>
      <c r="L210" s="130"/>
      <c r="M210" s="648"/>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7"/>
      <c r="B211" s="67"/>
      <c r="C211" s="647"/>
      <c r="D211" s="67"/>
      <c r="E211" s="67"/>
      <c r="F211" s="19"/>
      <c r="G211" s="19"/>
      <c r="H211" s="764"/>
      <c r="J211" s="75"/>
      <c r="K211" s="67"/>
      <c r="L211" s="130"/>
      <c r="M211" s="648"/>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c r="A212" s="717">
        <f>+A207+1</f>
        <v>84</v>
      </c>
      <c r="B212" s="67"/>
      <c r="C212" s="647" t="s">
        <v>4</v>
      </c>
      <c r="D212" s="67" t="str">
        <f>"(Line "&amp;A70&amp;")"</f>
        <v>(Line 13)</v>
      </c>
      <c r="E212" s="67"/>
      <c r="F212" s="19"/>
      <c r="G212" s="19"/>
      <c r="H212" s="649">
        <f>+J70</f>
        <v>0</v>
      </c>
      <c r="I212" s="19"/>
      <c r="J212" s="67"/>
      <c r="K212" s="67"/>
      <c r="L212" s="130"/>
      <c r="M212" s="648"/>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7">
        <f>+A212+1</f>
        <v>85</v>
      </c>
      <c r="B213" s="67"/>
      <c r="C213" s="647" t="s">
        <v>268</v>
      </c>
      <c r="D213" s="67" t="str">
        <f>"(Line "&amp;A77&amp;")"</f>
        <v>(Line 19)</v>
      </c>
      <c r="E213" s="67"/>
      <c r="F213" s="19"/>
      <c r="G213" s="19"/>
      <c r="H213" s="649">
        <f>+J77</f>
        <v>0</v>
      </c>
      <c r="J213" s="124"/>
      <c r="K213" s="67"/>
      <c r="L213" s="130"/>
      <c r="M213" s="648"/>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7">
        <f>+A213+1</f>
        <v>86</v>
      </c>
      <c r="B214" s="67"/>
      <c r="C214" s="650" t="s">
        <v>5</v>
      </c>
      <c r="D214" s="67" t="str">
        <f>"(Line "&amp;A80&amp;")"</f>
        <v>(Line 22)</v>
      </c>
      <c r="E214" s="67"/>
      <c r="F214" s="19"/>
      <c r="G214" s="19"/>
      <c r="H214" s="649">
        <f>+J80</f>
        <v>5042233.6642105263</v>
      </c>
      <c r="I214" s="19"/>
      <c r="J214" s="67"/>
      <c r="K214" s="67"/>
      <c r="L214" s="130"/>
      <c r="M214" s="648"/>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717">
        <f>+A214+1</f>
        <v>87</v>
      </c>
      <c r="B215" s="67"/>
      <c r="C215" s="650" t="s">
        <v>393</v>
      </c>
      <c r="D215" s="67" t="str">
        <f>"(Line "&amp;A79&amp;")"</f>
        <v>(Line 21)</v>
      </c>
      <c r="E215" s="67"/>
      <c r="F215" s="19"/>
      <c r="G215" s="19"/>
      <c r="H215" s="649">
        <f>+J79</f>
        <v>1728068.5</v>
      </c>
      <c r="I215" s="19"/>
      <c r="J215" s="67"/>
      <c r="L215" s="130"/>
      <c r="M215" s="648"/>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ht="27.75" customHeight="1">
      <c r="A216" s="717">
        <f>+A215+1</f>
        <v>88</v>
      </c>
      <c r="B216" s="67"/>
      <c r="C216" s="728" t="str">
        <f>+C210</f>
        <v>Sum Of Net Transmission Plant, CWIP in Rate Base, Regulatory Asset and Unamortized Abandoned Plant</v>
      </c>
      <c r="D216" s="67"/>
      <c r="E216" s="67"/>
      <c r="F216" s="19"/>
      <c r="G216" s="19"/>
      <c r="H216" s="411">
        <f>SUM(H212:H215)</f>
        <v>6770302.1642105263</v>
      </c>
      <c r="I216" s="19"/>
      <c r="J216" s="411"/>
      <c r="K216" s="1645"/>
      <c r="L216" s="1645"/>
      <c r="M216" s="1645"/>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A217" s="717"/>
      <c r="B217" s="67"/>
      <c r="C217" s="647"/>
      <c r="D217" s="67"/>
      <c r="E217" s="67"/>
      <c r="F217" s="19"/>
      <c r="G217" s="19"/>
      <c r="H217" s="19"/>
      <c r="I217" s="19"/>
      <c r="J217" s="67"/>
      <c r="K217" s="67"/>
      <c r="L217" s="130"/>
      <c r="M217" s="648"/>
      <c r="N217" s="31"/>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A218" s="717"/>
      <c r="B218" s="67"/>
      <c r="C218" s="647"/>
      <c r="D218" s="67"/>
      <c r="E218" s="67"/>
      <c r="F218" s="19"/>
      <c r="G218" s="19"/>
      <c r="H218" s="19"/>
      <c r="I218" s="19"/>
      <c r="J218" s="19"/>
      <c r="K218" s="67"/>
      <c r="L218" s="130"/>
      <c r="M218" s="648"/>
      <c r="N218" s="31"/>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c r="A219" s="67"/>
      <c r="B219" s="67"/>
      <c r="C219" s="651"/>
      <c r="D219" s="651"/>
      <c r="E219" s="651"/>
      <c r="F219" s="19"/>
      <c r="G219" s="19"/>
      <c r="H219" s="652"/>
      <c r="I219" s="19"/>
      <c r="J219" s="653"/>
      <c r="K219" s="67"/>
      <c r="L219" s="130"/>
      <c r="M219" s="654"/>
      <c r="N219" s="31"/>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A220" s="67"/>
      <c r="B220" s="67"/>
      <c r="C220" s="647"/>
      <c r="D220" s="647"/>
      <c r="E220" s="655"/>
      <c r="F220" s="19"/>
      <c r="G220" s="19"/>
      <c r="H220" s="19"/>
      <c r="I220" s="19"/>
      <c r="J220" s="655"/>
      <c r="K220" s="67"/>
      <c r="L220" s="130"/>
      <c r="M220" s="656"/>
      <c r="N220" s="31"/>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2"/>
      <c r="E221" s="3"/>
      <c r="F221" s="2"/>
      <c r="G221" s="2"/>
      <c r="H221" s="2"/>
      <c r="I221" s="8"/>
      <c r="J221" s="9"/>
      <c r="K221" s="9"/>
      <c r="L221" s="9"/>
      <c r="M221" s="5" t="s">
        <v>495</v>
      </c>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C222" s="2"/>
      <c r="D222" s="2"/>
      <c r="E222" s="3"/>
      <c r="F222" s="2"/>
      <c r="G222" s="2"/>
      <c r="H222" s="2"/>
      <c r="I222" s="8"/>
      <c r="J222" s="8"/>
      <c r="K222" s="10"/>
      <c r="L222" s="9"/>
      <c r="M222" s="9" t="s">
        <v>432</v>
      </c>
      <c r="N222" s="6"/>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C223" s="2"/>
      <c r="D223" s="40" t="s">
        <v>58</v>
      </c>
      <c r="F223" s="2"/>
      <c r="G223" s="2"/>
      <c r="H223" s="2"/>
      <c r="I223" s="8"/>
      <c r="J223" s="8"/>
      <c r="K223" s="10"/>
      <c r="L223" s="9"/>
      <c r="M223" s="6"/>
      <c r="N223" s="6"/>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C224" s="2" t="s">
        <v>6</v>
      </c>
      <c r="D224" s="116"/>
      <c r="E224" s="116" t="s">
        <v>106</v>
      </c>
      <c r="F224" s="2"/>
      <c r="G224" s="2"/>
      <c r="H224" s="2"/>
      <c r="I224" s="8"/>
      <c r="K224" s="10"/>
      <c r="L224" s="10"/>
      <c r="M224" s="6"/>
      <c r="N224" s="6"/>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c r="C225" s="2"/>
      <c r="D225" s="11" t="s">
        <v>7</v>
      </c>
      <c r="E225" s="11" t="s">
        <v>8</v>
      </c>
      <c r="F225" s="11"/>
      <c r="G225" s="11"/>
      <c r="H225" s="11"/>
      <c r="I225" s="8"/>
      <c r="J225" s="8"/>
      <c r="K225" s="10"/>
      <c r="L225" s="10"/>
      <c r="M225" s="6"/>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c r="A226" s="12"/>
      <c r="C226" s="26"/>
      <c r="D226" s="26"/>
      <c r="E226" s="26"/>
      <c r="F226" s="26"/>
      <c r="G226" s="26"/>
      <c r="H226" s="26"/>
      <c r="I226" s="26"/>
      <c r="J226" s="26"/>
      <c r="K226" s="339"/>
      <c r="L226" s="340"/>
      <c r="M226" s="338" t="str">
        <f>+M183</f>
        <v>For the 12 months ended 12/31/2020, Excess Deferred Update</v>
      </c>
      <c r="N226" s="31"/>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D227" s="26"/>
      <c r="E227" s="35" t="str">
        <f>E8</f>
        <v>MidAmerican Central California Transco, LLC</v>
      </c>
      <c r="F227" s="26"/>
      <c r="G227" s="26"/>
      <c r="H227" s="26"/>
      <c r="I227" s="26"/>
      <c r="J227" s="26"/>
      <c r="K227" s="11"/>
      <c r="M227" s="426"/>
      <c r="N227" s="31"/>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c r="A228" s="12"/>
      <c r="C228" s="26"/>
      <c r="D228" s="4"/>
      <c r="F228" s="10"/>
      <c r="G228" s="10"/>
      <c r="H228" s="10"/>
      <c r="I228" s="10"/>
      <c r="J228" s="10"/>
      <c r="K228" s="11"/>
      <c r="L228" s="11"/>
      <c r="M228" s="6"/>
      <c r="N228" s="31"/>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15.75">
      <c r="A229" s="12"/>
      <c r="B229" s="45"/>
      <c r="C229" s="91"/>
      <c r="D229" s="4"/>
      <c r="E229" s="11"/>
      <c r="F229" s="11"/>
      <c r="G229" s="11"/>
      <c r="H229" s="11"/>
      <c r="I229" s="8"/>
      <c r="J229" s="160"/>
      <c r="K229" s="90"/>
      <c r="L229" s="93"/>
      <c r="M229" s="94"/>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15.75">
      <c r="A230" s="12"/>
      <c r="B230" s="45"/>
      <c r="C230" s="91"/>
      <c r="F230" s="11"/>
      <c r="G230" s="11"/>
      <c r="H230" s="11"/>
      <c r="I230" s="8"/>
      <c r="J230" s="95"/>
      <c r="K230" s="90"/>
      <c r="L230" s="93"/>
      <c r="M230" s="94"/>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15.75">
      <c r="A231" s="12"/>
      <c r="B231" s="45"/>
      <c r="C231" s="91"/>
      <c r="D231" s="4"/>
      <c r="E231" s="11"/>
      <c r="F231" s="11"/>
      <c r="G231" s="11"/>
      <c r="H231" s="11"/>
      <c r="I231" s="8"/>
      <c r="J231" s="95"/>
      <c r="K231" s="90"/>
      <c r="L231" s="93"/>
      <c r="M231" s="94"/>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20.25">
      <c r="A232" s="96"/>
      <c r="B232" s="97"/>
      <c r="C232" s="98" t="s">
        <v>72</v>
      </c>
      <c r="D232" s="96"/>
      <c r="E232" s="99"/>
      <c r="F232" s="99"/>
      <c r="G232" s="99"/>
      <c r="H232" s="99"/>
      <c r="I232" s="97"/>
      <c r="J232" s="99"/>
      <c r="K232" s="100"/>
      <c r="L232" s="101"/>
      <c r="M232" s="102"/>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20.25">
      <c r="A233" s="96"/>
      <c r="B233" s="97"/>
      <c r="C233" s="98" t="s">
        <v>73</v>
      </c>
      <c r="D233" s="96"/>
      <c r="E233" s="99"/>
      <c r="F233" s="99"/>
      <c r="G233" s="99"/>
      <c r="H233" s="99"/>
      <c r="I233" s="97"/>
      <c r="J233" s="99"/>
      <c r="K233" s="100"/>
      <c r="L233" s="101"/>
      <c r="M233" s="102"/>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20.25">
      <c r="A234" s="96" t="s">
        <v>74</v>
      </c>
      <c r="B234" s="97"/>
      <c r="C234" s="98"/>
      <c r="D234" s="97"/>
      <c r="E234" s="99"/>
      <c r="F234" s="99"/>
      <c r="G234" s="99"/>
      <c r="H234" s="99"/>
      <c r="I234" s="97"/>
      <c r="J234" s="99"/>
      <c r="K234" s="100"/>
      <c r="L234" s="101"/>
      <c r="M234" s="102"/>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21" thickBot="1">
      <c r="A235" s="103" t="s">
        <v>75</v>
      </c>
      <c r="B235" s="97"/>
      <c r="C235" s="98"/>
      <c r="D235" s="97"/>
      <c r="E235" s="99"/>
      <c r="F235" s="99"/>
      <c r="G235" s="99"/>
      <c r="H235" s="99"/>
      <c r="I235" s="97"/>
      <c r="J235" s="99"/>
      <c r="K235" s="100"/>
      <c r="L235" s="101"/>
      <c r="M235" s="102"/>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76</v>
      </c>
      <c r="B236" s="97"/>
      <c r="C236" s="569" t="s">
        <v>82</v>
      </c>
      <c r="D236" s="569"/>
      <c r="E236" s="569"/>
      <c r="F236" s="569"/>
      <c r="G236" s="569"/>
      <c r="H236" s="569"/>
      <c r="I236" s="569"/>
      <c r="J236" s="569"/>
      <c r="K236" s="569"/>
      <c r="L236" s="569"/>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69" t="s">
        <v>685</v>
      </c>
      <c r="D237" s="569"/>
      <c r="E237" s="569"/>
      <c r="F237" s="569"/>
      <c r="G237" s="569"/>
      <c r="H237" s="569"/>
      <c r="I237" s="569"/>
      <c r="J237" s="569"/>
      <c r="K237" s="569"/>
      <c r="L237" s="569"/>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ht="18.75">
      <c r="A238" s="96"/>
      <c r="B238" s="97"/>
      <c r="C238" s="569" t="str">
        <f>"  chose to utilize amortization of tax credits against taxable income as discussed in Note "&amp;A250&amp;".  Account 281 is not allocated."</f>
        <v xml:space="preserve">  chose to utilize amortization of tax credits against taxable income as discussed in Note F.  Account 281 is not allocated.</v>
      </c>
      <c r="D238" s="569"/>
      <c r="E238" s="569"/>
      <c r="F238" s="569"/>
      <c r="G238" s="569"/>
      <c r="H238" s="569"/>
      <c r="I238" s="569"/>
      <c r="J238" s="569"/>
      <c r="K238" s="569"/>
      <c r="L238" s="569"/>
      <c r="M238" s="105"/>
      <c r="N238" s="6"/>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row>
    <row r="239" spans="1:61" ht="18.75">
      <c r="A239" s="96" t="s">
        <v>77</v>
      </c>
      <c r="B239" s="97"/>
      <c r="C239" s="569" t="s">
        <v>84</v>
      </c>
      <c r="D239" s="569"/>
      <c r="E239" s="569"/>
      <c r="F239" s="569"/>
      <c r="G239" s="569"/>
      <c r="H239" s="569"/>
      <c r="I239" s="569"/>
      <c r="J239" s="569"/>
      <c r="K239" s="569"/>
      <c r="L239" s="569"/>
      <c r="M239" s="105"/>
      <c r="N239" s="6"/>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row>
    <row r="240" spans="1:61" ht="18.75">
      <c r="A240" s="96" t="s">
        <v>78</v>
      </c>
      <c r="B240" s="97"/>
      <c r="C240" s="569" t="s">
        <v>223</v>
      </c>
      <c r="D240" s="569"/>
      <c r="E240" s="569"/>
      <c r="F240" s="569"/>
      <c r="G240" s="569"/>
      <c r="H240" s="569"/>
      <c r="I240" s="569"/>
      <c r="J240" s="569"/>
      <c r="K240" s="569"/>
      <c r="L240" s="569"/>
      <c r="M240" s="105"/>
      <c r="N240" s="6"/>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row>
    <row r="241" spans="1:61" ht="18.75">
      <c r="A241" s="96"/>
      <c r="B241" s="97"/>
      <c r="C241" s="569" t="s">
        <v>86</v>
      </c>
      <c r="D241" s="569"/>
      <c r="E241" s="569"/>
      <c r="F241" s="569"/>
      <c r="G241" s="569"/>
      <c r="H241" s="569"/>
      <c r="I241" s="569"/>
      <c r="J241" s="569"/>
      <c r="K241" s="569"/>
      <c r="L241" s="569"/>
      <c r="M241" s="105"/>
      <c r="N241" s="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s="67" customFormat="1" ht="18.75">
      <c r="B242" s="104"/>
      <c r="C242" s="645"/>
      <c r="D242" s="569"/>
      <c r="E242" s="569"/>
      <c r="F242" s="569"/>
      <c r="G242" s="569"/>
      <c r="H242" s="569"/>
      <c r="I242" s="569"/>
      <c r="J242" s="569"/>
      <c r="K242" s="645"/>
      <c r="L242" s="569"/>
      <c r="M242" s="105"/>
      <c r="N242" s="586"/>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row>
    <row r="243" spans="1:61" s="67" customFormat="1" ht="18.75">
      <c r="A243" s="413" t="s">
        <v>79</v>
      </c>
      <c r="B243" s="104"/>
      <c r="C243" s="645" t="s">
        <v>686</v>
      </c>
      <c r="D243" s="569"/>
      <c r="E243" s="569"/>
      <c r="F243" s="569"/>
      <c r="G243" s="569"/>
      <c r="H243" s="569"/>
      <c r="I243" s="569"/>
      <c r="J243" s="569"/>
      <c r="K243" s="645"/>
      <c r="L243" s="569"/>
      <c r="M243" s="105"/>
      <c r="N243" s="586"/>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row>
    <row r="244" spans="1:61" s="67" customFormat="1" ht="18.75">
      <c r="A244" s="413"/>
      <c r="B244" s="104"/>
      <c r="C244" s="645" t="s">
        <v>998</v>
      </c>
      <c r="D244" s="569"/>
      <c r="E244" s="569"/>
      <c r="F244" s="569"/>
      <c r="G244" s="569"/>
      <c r="H244" s="569"/>
      <c r="I244" s="569"/>
      <c r="J244" s="569"/>
      <c r="K244" s="569"/>
      <c r="L244" s="569"/>
      <c r="M244" s="105"/>
      <c r="N244" s="570"/>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row>
    <row r="245" spans="1:61" ht="18.75">
      <c r="A245" s="96"/>
      <c r="B245" s="97"/>
      <c r="C245" s="645" t="s">
        <v>687</v>
      </c>
      <c r="D245" s="569"/>
      <c r="E245" s="569"/>
      <c r="F245" s="569"/>
      <c r="G245" s="569"/>
      <c r="H245" s="569"/>
      <c r="I245" s="569"/>
      <c r="J245" s="569"/>
      <c r="K245" s="570"/>
      <c r="L245" s="569"/>
      <c r="M245" s="105"/>
      <c r="N245" s="58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c r="B246" s="97"/>
      <c r="C246" s="645" t="s">
        <v>395</v>
      </c>
      <c r="D246" s="569"/>
      <c r="E246" s="569"/>
      <c r="F246" s="569"/>
      <c r="G246" s="569"/>
      <c r="H246" s="569"/>
      <c r="I246" s="569"/>
      <c r="J246" s="569"/>
      <c r="K246" s="569"/>
      <c r="L246" s="569"/>
      <c r="M246" s="105"/>
      <c r="N246" s="58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t="s">
        <v>80</v>
      </c>
      <c r="B247" s="97"/>
      <c r="C247" s="569" t="s">
        <v>89</v>
      </c>
      <c r="D247" s="569"/>
      <c r="E247" s="569"/>
      <c r="F247" s="569"/>
      <c r="G247" s="569"/>
      <c r="H247" s="569"/>
      <c r="I247" s="569"/>
      <c r="J247" s="569"/>
      <c r="K247" s="569"/>
      <c r="L247" s="569"/>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69" t="s">
        <v>90</v>
      </c>
      <c r="D248" s="569"/>
      <c r="E248" s="569"/>
      <c r="F248" s="569"/>
      <c r="G248" s="569"/>
      <c r="H248" s="569"/>
      <c r="I248" s="569"/>
      <c r="J248" s="569"/>
      <c r="K248" s="569"/>
      <c r="L248" s="569"/>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69" t="s">
        <v>500</v>
      </c>
      <c r="D249" s="569"/>
      <c r="E249" s="569"/>
      <c r="F249" s="569"/>
      <c r="G249" s="569"/>
      <c r="H249" s="569"/>
      <c r="I249" s="569"/>
      <c r="J249" s="569"/>
      <c r="K249" s="569"/>
      <c r="L249" s="569"/>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t="s">
        <v>81</v>
      </c>
      <c r="B250" s="97"/>
      <c r="C250" s="569" t="s">
        <v>91</v>
      </c>
      <c r="D250" s="569"/>
      <c r="E250" s="569"/>
      <c r="F250" s="569"/>
      <c r="G250" s="569"/>
      <c r="H250" s="569"/>
      <c r="I250" s="569"/>
      <c r="J250" s="569"/>
      <c r="K250" s="569"/>
      <c r="L250" s="569"/>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69" t="s">
        <v>92</v>
      </c>
      <c r="D251" s="569"/>
      <c r="E251" s="569"/>
      <c r="F251" s="569"/>
      <c r="G251" s="569"/>
      <c r="H251" s="569"/>
      <c r="I251" s="569"/>
      <c r="J251" s="569"/>
      <c r="K251" s="569"/>
      <c r="L251" s="569"/>
      <c r="M251" s="105"/>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c r="B252" s="97"/>
      <c r="C252" s="569" t="s">
        <v>93</v>
      </c>
      <c r="D252" s="569"/>
      <c r="E252" s="569"/>
      <c r="F252" s="569"/>
      <c r="G252" s="569"/>
      <c r="H252" s="569"/>
      <c r="I252" s="569"/>
      <c r="J252" s="569"/>
      <c r="K252" s="569"/>
      <c r="L252" s="569"/>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69" t="s">
        <v>94</v>
      </c>
      <c r="D253" s="569"/>
      <c r="E253" s="569"/>
      <c r="F253" s="569"/>
      <c r="G253" s="569"/>
      <c r="H253" s="569"/>
      <c r="I253" s="569"/>
      <c r="J253" s="569"/>
      <c r="K253" s="569"/>
      <c r="L253" s="569"/>
      <c r="M253" s="105"/>
      <c r="N253" s="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69" t="s">
        <v>95</v>
      </c>
      <c r="D254" s="569"/>
      <c r="E254" s="569"/>
      <c r="F254" s="569"/>
      <c r="G254" s="569"/>
      <c r="H254" s="569"/>
      <c r="I254" s="569"/>
      <c r="J254" s="569"/>
      <c r="K254" s="569"/>
      <c r="L254" s="569"/>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69" t="s">
        <v>297</v>
      </c>
      <c r="D255" s="569"/>
      <c r="E255" s="569"/>
      <c r="F255" s="569"/>
      <c r="G255" s="569"/>
      <c r="H255" s="569"/>
      <c r="I255" s="569"/>
      <c r="J255" s="569"/>
      <c r="L255" s="840"/>
      <c r="M255" s="841"/>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t="s">
        <v>7</v>
      </c>
      <c r="B256" s="97"/>
      <c r="C256" s="569" t="s">
        <v>96</v>
      </c>
      <c r="D256" s="569" t="s">
        <v>97</v>
      </c>
      <c r="E256" s="638">
        <v>0.21</v>
      </c>
      <c r="F256" s="569"/>
      <c r="G256" s="569"/>
      <c r="H256" s="569"/>
      <c r="I256" s="569"/>
      <c r="J256" s="569"/>
      <c r="K256" s="569"/>
      <c r="L256" s="569"/>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69"/>
      <c r="D257" s="569" t="s">
        <v>98</v>
      </c>
      <c r="E257" s="838">
        <f>+'2a - Cost Support'!L98</f>
        <v>8.8400000000000006E-2</v>
      </c>
      <c r="F257" s="569" t="s">
        <v>934</v>
      </c>
      <c r="G257" s="569"/>
      <c r="H257" s="569"/>
      <c r="I257" s="569"/>
      <c r="J257" s="569"/>
      <c r="K257" s="569"/>
      <c r="L257" s="569"/>
      <c r="M257" s="105"/>
      <c r="N257" s="10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69"/>
      <c r="D258" s="569" t="s">
        <v>99</v>
      </c>
      <c r="E258" s="638">
        <v>0</v>
      </c>
      <c r="F258" s="569" t="s">
        <v>100</v>
      </c>
      <c r="G258" s="569"/>
      <c r="H258" s="569"/>
      <c r="I258" s="569"/>
      <c r="J258" s="569"/>
      <c r="K258" s="569"/>
      <c r="L258" s="569"/>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8.75">
      <c r="A259" s="96"/>
      <c r="B259" s="97"/>
      <c r="C259" s="569"/>
      <c r="D259" s="569"/>
      <c r="E259" s="638"/>
      <c r="F259" s="569" t="s">
        <v>475</v>
      </c>
      <c r="G259" s="569"/>
      <c r="H259" s="569"/>
      <c r="I259" s="569"/>
      <c r="J259" s="569"/>
      <c r="K259" s="569"/>
      <c r="L259" s="569"/>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c r="B260" s="97"/>
      <c r="C260" s="645" t="s">
        <v>2</v>
      </c>
      <c r="D260" s="569"/>
      <c r="E260" s="646"/>
      <c r="F260" s="569"/>
      <c r="G260" s="569"/>
      <c r="H260" s="569"/>
      <c r="I260" s="569"/>
      <c r="J260" s="569"/>
      <c r="K260" s="569"/>
      <c r="L260" s="569"/>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69" t="s">
        <v>3</v>
      </c>
      <c r="D261" s="569"/>
      <c r="E261" s="646"/>
      <c r="F261" s="569"/>
      <c r="G261" s="569"/>
      <c r="H261" s="569"/>
      <c r="I261" s="569"/>
      <c r="J261" s="569"/>
      <c r="K261" s="569"/>
      <c r="L261" s="569"/>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69" t="s">
        <v>363</v>
      </c>
      <c r="D262" s="569"/>
      <c r="E262" s="646"/>
      <c r="F262" s="569"/>
      <c r="G262" s="569"/>
      <c r="H262" s="569"/>
      <c r="I262" s="569"/>
      <c r="J262" s="569"/>
      <c r="K262" s="569"/>
      <c r="L262" s="569"/>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01.25" customHeight="1">
      <c r="A263" s="1157" t="s">
        <v>83</v>
      </c>
      <c r="B263" s="97"/>
      <c r="C263" s="1647" t="s">
        <v>999</v>
      </c>
      <c r="D263" s="1647"/>
      <c r="E263" s="1647"/>
      <c r="F263" s="1647"/>
      <c r="G263" s="1647"/>
      <c r="H263" s="1647"/>
      <c r="I263" s="1647"/>
      <c r="J263" s="1647"/>
      <c r="K263" s="1647"/>
      <c r="L263" s="1647"/>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85</v>
      </c>
      <c r="B264" s="97"/>
      <c r="C264" s="569" t="s">
        <v>101</v>
      </c>
      <c r="D264" s="569"/>
      <c r="E264" s="569"/>
      <c r="F264" s="569"/>
      <c r="G264" s="569"/>
      <c r="H264" s="569"/>
      <c r="I264" s="569"/>
      <c r="J264" s="569"/>
      <c r="K264" s="569"/>
      <c r="L264" s="569"/>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8.75">
      <c r="A265" s="96"/>
      <c r="B265" s="97"/>
      <c r="C265" s="569" t="s">
        <v>102</v>
      </c>
      <c r="D265" s="569"/>
      <c r="E265" s="569"/>
      <c r="F265" s="569"/>
      <c r="G265" s="569"/>
      <c r="H265" s="569"/>
      <c r="I265" s="569"/>
      <c r="J265" s="569"/>
      <c r="K265" s="569"/>
      <c r="L265" s="569"/>
      <c r="M265" s="105"/>
      <c r="N265" s="6"/>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row>
    <row r="266" spans="1:256" ht="18.75">
      <c r="A266" s="96"/>
      <c r="B266" s="97"/>
      <c r="C266" s="569" t="s">
        <v>103</v>
      </c>
      <c r="D266" s="569"/>
      <c r="E266" s="569"/>
      <c r="F266" s="569"/>
      <c r="G266" s="569"/>
      <c r="H266" s="569"/>
      <c r="I266" s="569"/>
      <c r="J266" s="569"/>
      <c r="K266" s="569"/>
      <c r="L266" s="569"/>
      <c r="M266" s="105"/>
      <c r="N266" s="6"/>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row>
    <row r="267" spans="1:256" ht="18.75">
      <c r="A267" s="96" t="s">
        <v>87</v>
      </c>
      <c r="B267" s="97"/>
      <c r="C267" s="569" t="s">
        <v>1037</v>
      </c>
      <c r="D267" s="569"/>
      <c r="E267" s="569"/>
      <c r="F267" s="569"/>
      <c r="G267" s="569"/>
      <c r="H267" s="569"/>
      <c r="I267" s="569"/>
      <c r="J267" s="569"/>
      <c r="K267" s="569"/>
      <c r="L267" s="569"/>
      <c r="M267" s="105"/>
      <c r="N267" s="6"/>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row>
    <row r="268" spans="1:256" ht="18.75">
      <c r="A268" s="96" t="s">
        <v>88</v>
      </c>
      <c r="B268" s="104"/>
      <c r="C268" s="813" t="s">
        <v>466</v>
      </c>
      <c r="D268" s="569"/>
      <c r="E268" s="569"/>
      <c r="F268" s="569"/>
      <c r="G268" s="569"/>
      <c r="H268" s="569"/>
      <c r="I268" s="569"/>
      <c r="J268" s="569"/>
      <c r="K268" s="569"/>
      <c r="L268" s="569"/>
      <c r="M268" s="105"/>
      <c r="N268" s="6"/>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row>
    <row r="269" spans="1:256" ht="13.5" customHeight="1">
      <c r="A269" s="443"/>
      <c r="B269" s="443"/>
      <c r="C269" s="1648" t="s">
        <v>935</v>
      </c>
      <c r="D269" s="1648"/>
      <c r="E269" s="1648"/>
      <c r="F269" s="1648"/>
      <c r="G269" s="1648"/>
      <c r="H269" s="1648"/>
      <c r="I269" s="1648"/>
      <c r="J269" s="1648"/>
      <c r="K269" s="1648"/>
      <c r="L269" s="1648"/>
      <c r="M269" s="443"/>
      <c r="N269" s="443"/>
      <c r="O269" s="443"/>
      <c r="P269" s="443"/>
      <c r="Q269" s="443"/>
      <c r="R269" s="443"/>
      <c r="S269" s="443"/>
      <c r="T269" s="443"/>
      <c r="U269" s="443"/>
      <c r="V269" s="443"/>
      <c r="W269" s="443"/>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3"/>
      <c r="AS269" s="443"/>
      <c r="AT269" s="443"/>
      <c r="AU269" s="443"/>
      <c r="AV269" s="443"/>
      <c r="AW269" s="443"/>
      <c r="AX269" s="443"/>
      <c r="AY269" s="443"/>
      <c r="AZ269" s="443"/>
      <c r="BA269" s="443"/>
      <c r="BB269" s="443"/>
      <c r="BC269" s="443"/>
      <c r="BD269" s="443"/>
      <c r="BE269" s="443"/>
      <c r="BF269" s="443"/>
      <c r="BG269" s="443"/>
      <c r="BH269" s="443"/>
      <c r="BI269" s="443"/>
      <c r="BJ269" s="443"/>
      <c r="BK269" s="443"/>
      <c r="BL269" s="443"/>
      <c r="BM269" s="443"/>
      <c r="BN269" s="443"/>
      <c r="BO269" s="443"/>
      <c r="BP269" s="443"/>
      <c r="BQ269" s="443"/>
      <c r="BR269" s="443"/>
      <c r="BS269" s="443"/>
      <c r="BT269" s="443"/>
      <c r="BU269" s="443"/>
      <c r="BV269" s="443"/>
      <c r="BW269" s="443"/>
      <c r="BX269" s="443"/>
      <c r="BY269" s="443"/>
      <c r="BZ269" s="443"/>
      <c r="CA269" s="443"/>
      <c r="CB269" s="443"/>
      <c r="CC269" s="443"/>
      <c r="CD269" s="443"/>
      <c r="CE269" s="443"/>
      <c r="CF269" s="443"/>
      <c r="CG269" s="443"/>
      <c r="CH269" s="443"/>
      <c r="CI269" s="443"/>
      <c r="CJ269" s="443"/>
      <c r="CK269" s="443"/>
      <c r="CL269" s="443"/>
      <c r="CM269" s="443"/>
      <c r="CN269" s="443"/>
      <c r="CO269" s="443"/>
      <c r="CP269" s="443"/>
      <c r="CQ269" s="443"/>
      <c r="CR269" s="443"/>
      <c r="CS269" s="443"/>
      <c r="CT269" s="443"/>
      <c r="CU269" s="443"/>
      <c r="CV269" s="443"/>
      <c r="CW269" s="443"/>
      <c r="CX269" s="443"/>
      <c r="CY269" s="443"/>
      <c r="CZ269" s="443"/>
      <c r="DA269" s="443"/>
      <c r="DB269" s="443"/>
      <c r="DC269" s="443"/>
      <c r="DD269" s="443"/>
      <c r="DE269" s="443"/>
      <c r="DF269" s="443"/>
      <c r="DG269" s="443"/>
      <c r="DH269" s="443"/>
      <c r="DI269" s="443"/>
      <c r="DJ269" s="443"/>
      <c r="DK269" s="443"/>
      <c r="DL269" s="443"/>
      <c r="DM269" s="443"/>
      <c r="DN269" s="443"/>
      <c r="DO269" s="443"/>
      <c r="DP269" s="443"/>
      <c r="DQ269" s="443"/>
      <c r="DR269" s="443"/>
      <c r="DS269" s="443"/>
      <c r="DT269" s="443"/>
      <c r="DU269" s="443"/>
      <c r="DV269" s="443"/>
      <c r="DW269" s="443"/>
      <c r="DX269" s="443"/>
      <c r="DY269" s="443"/>
      <c r="DZ269" s="443"/>
      <c r="EA269" s="443"/>
      <c r="EB269" s="443"/>
      <c r="EC269" s="443"/>
      <c r="ED269" s="443"/>
      <c r="EE269" s="443"/>
      <c r="EF269" s="443"/>
      <c r="EG269" s="443"/>
      <c r="EH269" s="443"/>
      <c r="EI269" s="443"/>
      <c r="EJ269" s="443"/>
      <c r="EK269" s="443"/>
      <c r="EL269" s="443"/>
      <c r="EM269" s="443"/>
      <c r="EN269" s="443"/>
      <c r="EO269" s="443"/>
      <c r="EP269" s="443"/>
      <c r="EQ269" s="443"/>
      <c r="ER269" s="443"/>
      <c r="ES269" s="443"/>
      <c r="ET269" s="443"/>
      <c r="EU269" s="443"/>
      <c r="EV269" s="443"/>
      <c r="EW269" s="443"/>
      <c r="EX269" s="443"/>
      <c r="EY269" s="443"/>
      <c r="EZ269" s="443"/>
      <c r="FA269" s="443"/>
      <c r="FB269" s="443"/>
      <c r="FC269" s="443"/>
      <c r="FD269" s="443"/>
      <c r="FE269" s="443"/>
      <c r="FF269" s="443"/>
      <c r="FG269" s="443"/>
      <c r="FH269" s="443"/>
      <c r="FI269" s="443"/>
      <c r="FJ269" s="443"/>
      <c r="FK269" s="443"/>
      <c r="FL269" s="443"/>
      <c r="FM269" s="443"/>
      <c r="FN269" s="443"/>
      <c r="FO269" s="443"/>
      <c r="FP269" s="443"/>
      <c r="FQ269" s="443"/>
      <c r="FR269" s="443"/>
      <c r="FS269" s="443"/>
      <c r="FT269" s="443"/>
      <c r="FU269" s="443"/>
      <c r="FV269" s="443"/>
      <c r="FW269" s="443"/>
      <c r="FX269" s="443"/>
      <c r="FY269" s="443"/>
      <c r="FZ269" s="443"/>
      <c r="GA269" s="443"/>
      <c r="GB269" s="443"/>
      <c r="GC269" s="443"/>
      <c r="GD269" s="443"/>
      <c r="GE269" s="443"/>
      <c r="GF269" s="443"/>
      <c r="GG269" s="443"/>
      <c r="GH269" s="443"/>
      <c r="GI269" s="443"/>
      <c r="GJ269" s="443"/>
      <c r="GK269" s="443"/>
      <c r="GL269" s="443"/>
      <c r="GM269" s="443"/>
      <c r="GN269" s="443"/>
      <c r="GO269" s="443"/>
      <c r="GP269" s="443"/>
      <c r="GQ269" s="443"/>
      <c r="GR269" s="443"/>
      <c r="GS269" s="443"/>
      <c r="GT269" s="443"/>
      <c r="GU269" s="443"/>
      <c r="GV269" s="443"/>
      <c r="GW269" s="443"/>
      <c r="GX269" s="443"/>
      <c r="GY269" s="443"/>
      <c r="GZ269" s="443"/>
      <c r="HA269" s="443"/>
      <c r="HB269" s="443"/>
      <c r="HC269" s="443"/>
      <c r="HD269" s="443"/>
      <c r="HE269" s="443"/>
      <c r="HF269" s="443"/>
      <c r="HG269" s="443"/>
      <c r="HH269" s="443"/>
      <c r="HI269" s="443"/>
      <c r="HJ269" s="443"/>
      <c r="HK269" s="443"/>
      <c r="HL269" s="443"/>
      <c r="HM269" s="443"/>
      <c r="HN269" s="443"/>
      <c r="HO269" s="443"/>
      <c r="HP269" s="443"/>
      <c r="HQ269" s="443"/>
      <c r="HR269" s="443"/>
      <c r="HS269" s="443"/>
      <c r="HT269" s="443"/>
      <c r="HU269" s="443"/>
      <c r="HV269" s="443"/>
      <c r="HW269" s="443"/>
      <c r="HX269" s="443"/>
      <c r="HY269" s="443"/>
      <c r="HZ269" s="443"/>
      <c r="IA269" s="443"/>
      <c r="IB269" s="443"/>
      <c r="IC269" s="443"/>
      <c r="ID269" s="443"/>
      <c r="IE269" s="443"/>
      <c r="IF269" s="443"/>
      <c r="IG269" s="443"/>
      <c r="IH269" s="443"/>
      <c r="II269" s="443"/>
      <c r="IJ269" s="443"/>
      <c r="IK269" s="443"/>
      <c r="IL269" s="443"/>
      <c r="IM269" s="443"/>
      <c r="IN269" s="443"/>
      <c r="IO269" s="443"/>
      <c r="IP269" s="443"/>
      <c r="IQ269" s="443"/>
      <c r="IR269" s="443"/>
      <c r="IS269" s="443"/>
      <c r="IT269" s="443"/>
      <c r="IU269" s="443"/>
      <c r="IV269" s="443"/>
    </row>
    <row r="270" spans="1:256" ht="27.75" customHeight="1">
      <c r="A270" s="443"/>
      <c r="B270" s="443"/>
      <c r="C270" s="1648"/>
      <c r="D270" s="1648"/>
      <c r="E270" s="1648"/>
      <c r="F270" s="1648"/>
      <c r="G270" s="1648"/>
      <c r="H270" s="1648"/>
      <c r="I270" s="1648"/>
      <c r="J270" s="1648"/>
      <c r="K270" s="1648"/>
      <c r="L270" s="1648"/>
      <c r="M270" s="443"/>
      <c r="N270" s="443"/>
      <c r="O270" s="443"/>
      <c r="P270" s="443"/>
      <c r="Q270" s="443"/>
      <c r="R270" s="443"/>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443"/>
      <c r="BO270" s="443"/>
      <c r="BP270" s="443"/>
      <c r="BQ270" s="443"/>
      <c r="BR270" s="443"/>
      <c r="BS270" s="443"/>
      <c r="BT270" s="443"/>
      <c r="BU270" s="443"/>
      <c r="BV270" s="443"/>
      <c r="BW270" s="443"/>
      <c r="BX270" s="443"/>
      <c r="BY270" s="443"/>
      <c r="BZ270" s="443"/>
      <c r="CA270" s="443"/>
      <c r="CB270" s="443"/>
      <c r="CC270" s="443"/>
      <c r="CD270" s="443"/>
      <c r="CE270" s="443"/>
      <c r="CF270" s="443"/>
      <c r="CG270" s="443"/>
      <c r="CH270" s="443"/>
      <c r="CI270" s="443"/>
      <c r="CJ270" s="443"/>
      <c r="CK270" s="443"/>
      <c r="CL270" s="443"/>
      <c r="CM270" s="443"/>
      <c r="CN270" s="443"/>
      <c r="CO270" s="443"/>
      <c r="CP270" s="443"/>
      <c r="CQ270" s="443"/>
      <c r="CR270" s="443"/>
      <c r="CS270" s="443"/>
      <c r="CT270" s="443"/>
      <c r="CU270" s="443"/>
      <c r="CV270" s="443"/>
      <c r="CW270" s="443"/>
      <c r="CX270" s="443"/>
      <c r="CY270" s="443"/>
      <c r="CZ270" s="443"/>
      <c r="DA270" s="443"/>
      <c r="DB270" s="443"/>
      <c r="DC270" s="443"/>
      <c r="DD270" s="443"/>
      <c r="DE270" s="443"/>
      <c r="DF270" s="443"/>
      <c r="DG270" s="443"/>
      <c r="DH270" s="443"/>
      <c r="DI270" s="443"/>
      <c r="DJ270" s="443"/>
      <c r="DK270" s="443"/>
      <c r="DL270" s="443"/>
      <c r="DM270" s="443"/>
      <c r="DN270" s="443"/>
      <c r="DO270" s="443"/>
      <c r="DP270" s="443"/>
      <c r="DQ270" s="443"/>
      <c r="DR270" s="443"/>
      <c r="DS270" s="443"/>
      <c r="DT270" s="443"/>
      <c r="DU270" s="443"/>
      <c r="DV270" s="443"/>
      <c r="DW270" s="443"/>
      <c r="DX270" s="443"/>
      <c r="DY270" s="443"/>
      <c r="DZ270" s="443"/>
      <c r="EA270" s="443"/>
      <c r="EB270" s="443"/>
      <c r="EC270" s="443"/>
      <c r="ED270" s="443"/>
      <c r="EE270" s="443"/>
      <c r="EF270" s="443"/>
      <c r="EG270" s="443"/>
      <c r="EH270" s="443"/>
      <c r="EI270" s="443"/>
      <c r="EJ270" s="443"/>
      <c r="EK270" s="443"/>
      <c r="EL270" s="443"/>
      <c r="EM270" s="443"/>
      <c r="EN270" s="443"/>
      <c r="EO270" s="443"/>
      <c r="EP270" s="443"/>
      <c r="EQ270" s="443"/>
      <c r="ER270" s="443"/>
      <c r="ES270" s="443"/>
      <c r="ET270" s="443"/>
      <c r="EU270" s="443"/>
      <c r="EV270" s="443"/>
      <c r="EW270" s="443"/>
      <c r="EX270" s="443"/>
      <c r="EY270" s="443"/>
      <c r="EZ270" s="443"/>
      <c r="FA270" s="443"/>
      <c r="FB270" s="443"/>
      <c r="FC270" s="443"/>
      <c r="FD270" s="443"/>
      <c r="FE270" s="443"/>
      <c r="FF270" s="443"/>
      <c r="FG270" s="443"/>
      <c r="FH270" s="443"/>
      <c r="FI270" s="443"/>
      <c r="FJ270" s="443"/>
      <c r="FK270" s="443"/>
      <c r="FL270" s="443"/>
      <c r="FM270" s="443"/>
      <c r="FN270" s="443"/>
      <c r="FO270" s="443"/>
      <c r="FP270" s="443"/>
      <c r="FQ270" s="443"/>
      <c r="FR270" s="443"/>
      <c r="FS270" s="443"/>
      <c r="FT270" s="443"/>
      <c r="FU270" s="443"/>
      <c r="FV270" s="443"/>
      <c r="FW270" s="443"/>
      <c r="FX270" s="443"/>
      <c r="FY270" s="443"/>
      <c r="FZ270" s="443"/>
      <c r="GA270" s="443"/>
      <c r="GB270" s="443"/>
      <c r="GC270" s="443"/>
      <c r="GD270" s="443"/>
      <c r="GE270" s="443"/>
      <c r="GF270" s="443"/>
      <c r="GG270" s="443"/>
      <c r="GH270" s="443"/>
      <c r="GI270" s="443"/>
      <c r="GJ270" s="443"/>
      <c r="GK270" s="443"/>
      <c r="GL270" s="443"/>
      <c r="GM270" s="443"/>
      <c r="GN270" s="443"/>
      <c r="GO270" s="443"/>
      <c r="GP270" s="443"/>
      <c r="GQ270" s="443"/>
      <c r="GR270" s="443"/>
      <c r="GS270" s="443"/>
      <c r="GT270" s="443"/>
      <c r="GU270" s="443"/>
      <c r="GV270" s="443"/>
      <c r="GW270" s="443"/>
      <c r="GX270" s="443"/>
      <c r="GY270" s="443"/>
      <c r="GZ270" s="443"/>
      <c r="HA270" s="443"/>
      <c r="HB270" s="443"/>
      <c r="HC270" s="443"/>
      <c r="HD270" s="443"/>
      <c r="HE270" s="443"/>
      <c r="HF270" s="443"/>
      <c r="HG270" s="443"/>
      <c r="HH270" s="443"/>
      <c r="HI270" s="443"/>
      <c r="HJ270" s="443"/>
      <c r="HK270" s="443"/>
      <c r="HL270" s="443"/>
      <c r="HM270" s="443"/>
      <c r="HN270" s="443"/>
      <c r="HO270" s="443"/>
      <c r="HP270" s="443"/>
      <c r="HQ270" s="443"/>
      <c r="HR270" s="443"/>
      <c r="HS270" s="443"/>
      <c r="HT270" s="443"/>
      <c r="HU270" s="443"/>
      <c r="HV270" s="443"/>
      <c r="HW270" s="443"/>
      <c r="HX270" s="443"/>
      <c r="HY270" s="443"/>
      <c r="HZ270" s="443"/>
      <c r="IA270" s="443"/>
      <c r="IB270" s="443"/>
      <c r="IC270" s="443"/>
      <c r="ID270" s="443"/>
      <c r="IE270" s="443"/>
      <c r="IF270" s="443"/>
      <c r="IG270" s="443"/>
      <c r="IH270" s="443"/>
      <c r="II270" s="443"/>
      <c r="IJ270" s="443"/>
      <c r="IK270" s="443"/>
      <c r="IL270" s="443"/>
      <c r="IM270" s="443"/>
      <c r="IN270" s="443"/>
      <c r="IO270" s="443"/>
      <c r="IP270" s="443"/>
      <c r="IQ270" s="443"/>
      <c r="IR270" s="443"/>
      <c r="IS270" s="443"/>
      <c r="IT270" s="443"/>
      <c r="IU270" s="443"/>
      <c r="IV270" s="443"/>
    </row>
    <row r="271" spans="1:256" ht="15.75" customHeight="1">
      <c r="A271" s="443"/>
      <c r="B271" s="443"/>
      <c r="C271" s="1648" t="s">
        <v>1057</v>
      </c>
      <c r="D271" s="1648"/>
      <c r="E271" s="1648"/>
      <c r="F271" s="1648"/>
      <c r="G271" s="1648"/>
      <c r="H271" s="1648"/>
      <c r="I271" s="1648"/>
      <c r="J271" s="1648"/>
      <c r="K271" s="1648"/>
      <c r="L271" s="1648"/>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443"/>
      <c r="AY271" s="443"/>
      <c r="AZ271" s="443"/>
      <c r="BA271" s="443"/>
      <c r="BB271" s="443"/>
      <c r="BC271" s="443"/>
      <c r="BD271" s="443"/>
      <c r="BE271" s="443"/>
      <c r="BF271" s="443"/>
      <c r="BG271" s="443"/>
      <c r="BH271" s="443"/>
      <c r="BI271" s="443"/>
      <c r="BJ271" s="443"/>
      <c r="BK271" s="443"/>
      <c r="BL271" s="443"/>
      <c r="BM271" s="443"/>
      <c r="BN271" s="443"/>
      <c r="BO271" s="443"/>
      <c r="BP271" s="443"/>
      <c r="BQ271" s="443"/>
      <c r="BR271" s="443"/>
      <c r="BS271" s="443"/>
      <c r="BT271" s="443"/>
      <c r="BU271" s="443"/>
      <c r="BV271" s="443"/>
      <c r="BW271" s="443"/>
      <c r="BX271" s="443"/>
      <c r="BY271" s="443"/>
      <c r="BZ271" s="443"/>
      <c r="CA271" s="443"/>
      <c r="CB271" s="443"/>
      <c r="CC271" s="443"/>
      <c r="CD271" s="443"/>
      <c r="CE271" s="443"/>
      <c r="CF271" s="443"/>
      <c r="CG271" s="443"/>
      <c r="CH271" s="443"/>
      <c r="CI271" s="443"/>
      <c r="CJ271" s="443"/>
      <c r="CK271" s="443"/>
      <c r="CL271" s="443"/>
      <c r="CM271" s="443"/>
      <c r="CN271" s="443"/>
      <c r="CO271" s="443"/>
      <c r="CP271" s="443"/>
      <c r="CQ271" s="443"/>
      <c r="CR271" s="443"/>
      <c r="CS271" s="443"/>
      <c r="CT271" s="443"/>
      <c r="CU271" s="443"/>
      <c r="CV271" s="443"/>
      <c r="CW271" s="443"/>
      <c r="CX271" s="443"/>
      <c r="CY271" s="443"/>
      <c r="CZ271" s="443"/>
      <c r="DA271" s="443"/>
      <c r="DB271" s="443"/>
      <c r="DC271" s="443"/>
      <c r="DD271" s="443"/>
      <c r="DE271" s="443"/>
      <c r="DF271" s="443"/>
      <c r="DG271" s="443"/>
      <c r="DH271" s="443"/>
      <c r="DI271" s="443"/>
      <c r="DJ271" s="443"/>
      <c r="DK271" s="443"/>
      <c r="DL271" s="443"/>
      <c r="DM271" s="443"/>
      <c r="DN271" s="443"/>
      <c r="DO271" s="443"/>
      <c r="DP271" s="443"/>
      <c r="DQ271" s="443"/>
      <c r="DR271" s="443"/>
      <c r="DS271" s="443"/>
      <c r="DT271" s="443"/>
      <c r="DU271" s="443"/>
      <c r="DV271" s="443"/>
      <c r="DW271" s="443"/>
      <c r="DX271" s="443"/>
      <c r="DY271" s="443"/>
      <c r="DZ271" s="443"/>
      <c r="EA271" s="443"/>
      <c r="EB271" s="443"/>
      <c r="EC271" s="443"/>
      <c r="ED271" s="443"/>
      <c r="EE271" s="443"/>
      <c r="EF271" s="443"/>
      <c r="EG271" s="443"/>
      <c r="EH271" s="443"/>
      <c r="EI271" s="443"/>
      <c r="EJ271" s="443"/>
      <c r="EK271" s="443"/>
      <c r="EL271" s="443"/>
      <c r="EM271" s="443"/>
      <c r="EN271" s="443"/>
      <c r="EO271" s="443"/>
      <c r="EP271" s="443"/>
      <c r="EQ271" s="443"/>
      <c r="ER271" s="443"/>
      <c r="ES271" s="443"/>
      <c r="ET271" s="443"/>
      <c r="EU271" s="443"/>
      <c r="EV271" s="443"/>
      <c r="EW271" s="443"/>
      <c r="EX271" s="443"/>
      <c r="EY271" s="443"/>
      <c r="EZ271" s="443"/>
      <c r="FA271" s="443"/>
      <c r="FB271" s="443"/>
      <c r="FC271" s="443"/>
      <c r="FD271" s="443"/>
      <c r="FE271" s="443"/>
      <c r="FF271" s="443"/>
      <c r="FG271" s="443"/>
      <c r="FH271" s="443"/>
      <c r="FI271" s="443"/>
      <c r="FJ271" s="443"/>
      <c r="FK271" s="443"/>
      <c r="FL271" s="443"/>
      <c r="FM271" s="443"/>
      <c r="FN271" s="443"/>
      <c r="FO271" s="443"/>
      <c r="FP271" s="443"/>
      <c r="FQ271" s="443"/>
      <c r="FR271" s="443"/>
      <c r="FS271" s="443"/>
      <c r="FT271" s="443"/>
      <c r="FU271" s="443"/>
      <c r="FV271" s="443"/>
      <c r="FW271" s="443"/>
      <c r="FX271" s="443"/>
      <c r="FY271" s="443"/>
      <c r="FZ271" s="443"/>
      <c r="GA271" s="443"/>
      <c r="GB271" s="443"/>
      <c r="GC271" s="443"/>
      <c r="GD271" s="443"/>
      <c r="GE271" s="443"/>
      <c r="GF271" s="443"/>
      <c r="GG271" s="443"/>
      <c r="GH271" s="443"/>
      <c r="GI271" s="443"/>
      <c r="GJ271" s="443"/>
      <c r="GK271" s="443"/>
      <c r="GL271" s="443"/>
      <c r="GM271" s="443"/>
      <c r="GN271" s="443"/>
      <c r="GO271" s="443"/>
      <c r="GP271" s="443"/>
      <c r="GQ271" s="443"/>
      <c r="GR271" s="443"/>
      <c r="GS271" s="443"/>
      <c r="GT271" s="443"/>
      <c r="GU271" s="443"/>
      <c r="GV271" s="443"/>
      <c r="GW271" s="443"/>
      <c r="GX271" s="443"/>
      <c r="GY271" s="443"/>
      <c r="GZ271" s="443"/>
      <c r="HA271" s="443"/>
      <c r="HB271" s="443"/>
      <c r="HC271" s="443"/>
      <c r="HD271" s="443"/>
      <c r="HE271" s="443"/>
      <c r="HF271" s="443"/>
      <c r="HG271" s="443"/>
      <c r="HH271" s="443"/>
      <c r="HI271" s="443"/>
      <c r="HJ271" s="443"/>
      <c r="HK271" s="443"/>
      <c r="HL271" s="443"/>
      <c r="HM271" s="443"/>
      <c r="HN271" s="443"/>
      <c r="HO271" s="443"/>
      <c r="HP271" s="443"/>
      <c r="HQ271" s="443"/>
      <c r="HR271" s="443"/>
      <c r="HS271" s="443"/>
      <c r="HT271" s="443"/>
      <c r="HU271" s="443"/>
      <c r="HV271" s="443"/>
      <c r="HW271" s="443"/>
      <c r="HX271" s="443"/>
      <c r="HY271" s="443"/>
      <c r="HZ271" s="443"/>
      <c r="IA271" s="443"/>
      <c r="IB271" s="443"/>
      <c r="IC271" s="443"/>
      <c r="ID271" s="443"/>
      <c r="IE271" s="443"/>
      <c r="IF271" s="443"/>
      <c r="IG271" s="443"/>
      <c r="IH271" s="443"/>
      <c r="II271" s="443"/>
      <c r="IJ271" s="443"/>
      <c r="IK271" s="443"/>
      <c r="IL271" s="443"/>
      <c r="IM271" s="443"/>
      <c r="IN271" s="443"/>
      <c r="IO271" s="443"/>
      <c r="IP271" s="443"/>
      <c r="IQ271" s="443"/>
      <c r="IR271" s="443"/>
      <c r="IS271" s="443"/>
      <c r="IT271" s="443"/>
      <c r="IU271" s="443"/>
      <c r="IV271" s="443"/>
    </row>
    <row r="272" spans="1:256" ht="15.75" customHeight="1">
      <c r="A272" s="443"/>
      <c r="B272" s="443"/>
      <c r="C272" s="1648"/>
      <c r="D272" s="1648"/>
      <c r="E272" s="1648"/>
      <c r="F272" s="1648"/>
      <c r="G272" s="1648"/>
      <c r="H272" s="1648"/>
      <c r="I272" s="1648"/>
      <c r="J272" s="1648"/>
      <c r="K272" s="1648"/>
      <c r="L272" s="1648"/>
      <c r="M272" s="443"/>
      <c r="N272" s="443"/>
      <c r="O272" s="443"/>
      <c r="P272" s="443"/>
      <c r="Q272" s="443"/>
      <c r="R272" s="443"/>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c r="AY272" s="443"/>
      <c r="AZ272" s="443"/>
      <c r="BA272" s="443"/>
      <c r="BB272" s="443"/>
      <c r="BC272" s="443"/>
      <c r="BD272" s="443"/>
      <c r="BE272" s="443"/>
      <c r="BF272" s="443"/>
      <c r="BG272" s="443"/>
      <c r="BH272" s="443"/>
      <c r="BI272" s="443"/>
      <c r="BJ272" s="443"/>
      <c r="BK272" s="443"/>
      <c r="BL272" s="443"/>
      <c r="BM272" s="443"/>
      <c r="BN272" s="443"/>
      <c r="BO272" s="443"/>
      <c r="BP272" s="443"/>
      <c r="BQ272" s="443"/>
      <c r="BR272" s="443"/>
      <c r="BS272" s="443"/>
      <c r="BT272" s="443"/>
      <c r="BU272" s="443"/>
      <c r="BV272" s="443"/>
      <c r="BW272" s="443"/>
      <c r="BX272" s="443"/>
      <c r="BY272" s="443"/>
      <c r="BZ272" s="443"/>
      <c r="CA272" s="443"/>
      <c r="CB272" s="443"/>
      <c r="CC272" s="443"/>
      <c r="CD272" s="443"/>
      <c r="CE272" s="443"/>
      <c r="CF272" s="443"/>
      <c r="CG272" s="443"/>
      <c r="CH272" s="443"/>
      <c r="CI272" s="443"/>
      <c r="CJ272" s="443"/>
      <c r="CK272" s="443"/>
      <c r="CL272" s="443"/>
      <c r="CM272" s="443"/>
      <c r="CN272" s="443"/>
      <c r="CO272" s="443"/>
      <c r="CP272" s="443"/>
      <c r="CQ272" s="443"/>
      <c r="CR272" s="443"/>
      <c r="CS272" s="443"/>
      <c r="CT272" s="443"/>
      <c r="CU272" s="443"/>
      <c r="CV272" s="443"/>
      <c r="CW272" s="443"/>
      <c r="CX272" s="443"/>
      <c r="CY272" s="443"/>
      <c r="CZ272" s="443"/>
      <c r="DA272" s="443"/>
      <c r="DB272" s="443"/>
      <c r="DC272" s="443"/>
      <c r="DD272" s="443"/>
      <c r="DE272" s="443"/>
      <c r="DF272" s="443"/>
      <c r="DG272" s="443"/>
      <c r="DH272" s="443"/>
      <c r="DI272" s="443"/>
      <c r="DJ272" s="443"/>
      <c r="DK272" s="443"/>
      <c r="DL272" s="443"/>
      <c r="DM272" s="443"/>
      <c r="DN272" s="443"/>
      <c r="DO272" s="443"/>
      <c r="DP272" s="443"/>
      <c r="DQ272" s="443"/>
      <c r="DR272" s="443"/>
      <c r="DS272" s="443"/>
      <c r="DT272" s="443"/>
      <c r="DU272" s="443"/>
      <c r="DV272" s="443"/>
      <c r="DW272" s="443"/>
      <c r="DX272" s="443"/>
      <c r="DY272" s="443"/>
      <c r="DZ272" s="443"/>
      <c r="EA272" s="443"/>
      <c r="EB272" s="443"/>
      <c r="EC272" s="443"/>
      <c r="ED272" s="443"/>
      <c r="EE272" s="443"/>
      <c r="EF272" s="443"/>
      <c r="EG272" s="443"/>
      <c r="EH272" s="443"/>
      <c r="EI272" s="443"/>
      <c r="EJ272" s="443"/>
      <c r="EK272" s="443"/>
      <c r="EL272" s="443"/>
      <c r="EM272" s="443"/>
      <c r="EN272" s="443"/>
      <c r="EO272" s="443"/>
      <c r="EP272" s="443"/>
      <c r="EQ272" s="443"/>
      <c r="ER272" s="443"/>
      <c r="ES272" s="443"/>
      <c r="ET272" s="443"/>
      <c r="EU272" s="443"/>
      <c r="EV272" s="443"/>
      <c r="EW272" s="443"/>
      <c r="EX272" s="443"/>
      <c r="EY272" s="443"/>
      <c r="EZ272" s="443"/>
      <c r="FA272" s="443"/>
      <c r="FB272" s="443"/>
      <c r="FC272" s="443"/>
      <c r="FD272" s="443"/>
      <c r="FE272" s="443"/>
      <c r="FF272" s="443"/>
      <c r="FG272" s="443"/>
      <c r="FH272" s="443"/>
      <c r="FI272" s="443"/>
      <c r="FJ272" s="443"/>
      <c r="FK272" s="443"/>
      <c r="FL272" s="443"/>
      <c r="FM272" s="443"/>
      <c r="FN272" s="443"/>
      <c r="FO272" s="443"/>
      <c r="FP272" s="443"/>
      <c r="FQ272" s="443"/>
      <c r="FR272" s="443"/>
      <c r="FS272" s="443"/>
      <c r="FT272" s="443"/>
      <c r="FU272" s="443"/>
      <c r="FV272" s="443"/>
      <c r="FW272" s="443"/>
      <c r="FX272" s="443"/>
      <c r="FY272" s="443"/>
      <c r="FZ272" s="443"/>
      <c r="GA272" s="443"/>
      <c r="GB272" s="443"/>
      <c r="GC272" s="443"/>
      <c r="GD272" s="443"/>
      <c r="GE272" s="443"/>
      <c r="GF272" s="443"/>
      <c r="GG272" s="443"/>
      <c r="GH272" s="443"/>
      <c r="GI272" s="443"/>
      <c r="GJ272" s="443"/>
      <c r="GK272" s="443"/>
      <c r="GL272" s="443"/>
      <c r="GM272" s="443"/>
      <c r="GN272" s="443"/>
      <c r="GO272" s="443"/>
      <c r="GP272" s="443"/>
      <c r="GQ272" s="443"/>
      <c r="GR272" s="443"/>
      <c r="GS272" s="443"/>
      <c r="GT272" s="443"/>
      <c r="GU272" s="443"/>
      <c r="GV272" s="443"/>
      <c r="GW272" s="443"/>
      <c r="GX272" s="443"/>
      <c r="GY272" s="443"/>
      <c r="GZ272" s="443"/>
      <c r="HA272" s="443"/>
      <c r="HB272" s="443"/>
      <c r="HC272" s="443"/>
      <c r="HD272" s="443"/>
      <c r="HE272" s="443"/>
      <c r="HF272" s="443"/>
      <c r="HG272" s="443"/>
      <c r="HH272" s="443"/>
      <c r="HI272" s="443"/>
      <c r="HJ272" s="443"/>
      <c r="HK272" s="443"/>
      <c r="HL272" s="443"/>
      <c r="HM272" s="443"/>
      <c r="HN272" s="443"/>
      <c r="HO272" s="443"/>
      <c r="HP272" s="443"/>
      <c r="HQ272" s="443"/>
      <c r="HR272" s="443"/>
      <c r="HS272" s="443"/>
      <c r="HT272" s="443"/>
      <c r="HU272" s="443"/>
      <c r="HV272" s="443"/>
      <c r="HW272" s="443"/>
      <c r="HX272" s="443"/>
      <c r="HY272" s="443"/>
      <c r="HZ272" s="443"/>
      <c r="IA272" s="443"/>
      <c r="IB272" s="443"/>
      <c r="IC272" s="443"/>
      <c r="ID272" s="443"/>
      <c r="IE272" s="443"/>
      <c r="IF272" s="443"/>
      <c r="IG272" s="443"/>
      <c r="IH272" s="443"/>
      <c r="II272" s="443"/>
      <c r="IJ272" s="443"/>
      <c r="IK272" s="443"/>
      <c r="IL272" s="443"/>
      <c r="IM272" s="443"/>
      <c r="IN272" s="443"/>
      <c r="IO272" s="443"/>
      <c r="IP272" s="443"/>
      <c r="IQ272" s="443"/>
      <c r="IR272" s="443"/>
      <c r="IS272" s="443"/>
      <c r="IT272" s="443"/>
      <c r="IU272" s="443"/>
      <c r="IV272" s="443"/>
    </row>
    <row r="273" spans="1:256" ht="56.25" customHeight="1">
      <c r="A273" s="1226" t="s">
        <v>317</v>
      </c>
      <c r="B273" s="444"/>
      <c r="C273" s="1644" t="s">
        <v>377</v>
      </c>
      <c r="D273" s="1644"/>
      <c r="E273" s="1644"/>
      <c r="F273" s="1644"/>
      <c r="G273" s="1644"/>
      <c r="H273" s="1644"/>
      <c r="I273" s="1644"/>
      <c r="J273" s="1644"/>
      <c r="K273" s="1644"/>
      <c r="L273" s="1644"/>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c r="AH273" s="444"/>
      <c r="AI273" s="444"/>
      <c r="AJ273" s="444"/>
      <c r="AK273" s="444"/>
      <c r="AL273" s="444"/>
      <c r="AM273" s="444"/>
      <c r="AN273" s="444"/>
      <c r="AO273" s="444"/>
      <c r="AP273" s="444"/>
      <c r="AQ273" s="444"/>
      <c r="AR273" s="444"/>
      <c r="AS273" s="444"/>
      <c r="AT273" s="444"/>
      <c r="AU273" s="444"/>
      <c r="AV273" s="444"/>
      <c r="AW273" s="444"/>
      <c r="AX273" s="444"/>
      <c r="AY273" s="444"/>
      <c r="AZ273" s="444"/>
      <c r="BA273" s="444"/>
      <c r="BB273" s="444"/>
      <c r="BC273" s="444"/>
      <c r="BD273" s="444"/>
      <c r="BE273" s="444"/>
      <c r="BF273" s="444"/>
      <c r="BG273" s="444"/>
      <c r="BH273" s="444"/>
      <c r="BI273" s="444"/>
      <c r="BJ273" s="444"/>
      <c r="BK273" s="444"/>
      <c r="BL273" s="444"/>
      <c r="BM273" s="444"/>
      <c r="BN273" s="444"/>
      <c r="BO273" s="444"/>
      <c r="BP273" s="444"/>
      <c r="BQ273" s="444"/>
      <c r="BR273" s="444"/>
      <c r="BS273" s="444"/>
      <c r="BT273" s="444"/>
      <c r="BU273" s="444"/>
      <c r="BV273" s="444"/>
      <c r="BW273" s="444"/>
      <c r="BX273" s="444"/>
      <c r="BY273" s="444"/>
      <c r="BZ273" s="444"/>
      <c r="CA273" s="444"/>
      <c r="CB273" s="444"/>
      <c r="CC273" s="444"/>
      <c r="CD273" s="444"/>
      <c r="CE273" s="444"/>
      <c r="CF273" s="444"/>
      <c r="CG273" s="444"/>
      <c r="CH273" s="444"/>
      <c r="CI273" s="444"/>
      <c r="CJ273" s="444"/>
      <c r="CK273" s="444"/>
      <c r="CL273" s="444"/>
      <c r="CM273" s="444"/>
      <c r="CN273" s="444"/>
      <c r="CO273" s="444"/>
      <c r="CP273" s="444"/>
      <c r="CQ273" s="444"/>
      <c r="CR273" s="444"/>
      <c r="CS273" s="444"/>
      <c r="CT273" s="444"/>
      <c r="CU273" s="444"/>
      <c r="CV273" s="444"/>
      <c r="CW273" s="444"/>
      <c r="CX273" s="444"/>
      <c r="CY273" s="444"/>
      <c r="CZ273" s="444"/>
      <c r="DA273" s="444"/>
      <c r="DB273" s="444"/>
      <c r="DC273" s="444"/>
      <c r="DD273" s="444"/>
      <c r="DE273" s="444"/>
      <c r="DF273" s="444"/>
      <c r="DG273" s="444"/>
      <c r="DH273" s="444"/>
      <c r="DI273" s="444"/>
      <c r="DJ273" s="444"/>
      <c r="DK273" s="444"/>
      <c r="DL273" s="444"/>
      <c r="DM273" s="444"/>
      <c r="DN273" s="444"/>
      <c r="DO273" s="444"/>
      <c r="DP273" s="444"/>
      <c r="DQ273" s="444"/>
      <c r="DR273" s="444"/>
      <c r="DS273" s="444"/>
      <c r="DT273" s="444"/>
      <c r="DU273" s="444"/>
      <c r="DV273" s="444"/>
      <c r="DW273" s="444"/>
      <c r="DX273" s="444"/>
      <c r="DY273" s="444"/>
      <c r="DZ273" s="444"/>
      <c r="EA273" s="444"/>
      <c r="EB273" s="444"/>
      <c r="EC273" s="444"/>
      <c r="ED273" s="444"/>
      <c r="EE273" s="444"/>
      <c r="EF273" s="444"/>
      <c r="EG273" s="444"/>
      <c r="EH273" s="444"/>
      <c r="EI273" s="444"/>
      <c r="EJ273" s="444"/>
      <c r="EK273" s="444"/>
      <c r="EL273" s="444"/>
      <c r="EM273" s="444"/>
      <c r="EN273" s="444"/>
      <c r="EO273" s="444"/>
      <c r="EP273" s="444"/>
      <c r="EQ273" s="444"/>
      <c r="ER273" s="444"/>
      <c r="ES273" s="444"/>
      <c r="ET273" s="444"/>
      <c r="EU273" s="444"/>
      <c r="EV273" s="444"/>
      <c r="EW273" s="444"/>
      <c r="EX273" s="444"/>
      <c r="EY273" s="444"/>
      <c r="EZ273" s="444"/>
      <c r="FA273" s="444"/>
      <c r="FB273" s="444"/>
      <c r="FC273" s="444"/>
      <c r="FD273" s="444"/>
      <c r="FE273" s="444"/>
      <c r="FF273" s="444"/>
      <c r="FG273" s="444"/>
      <c r="FH273" s="444"/>
      <c r="FI273" s="444"/>
      <c r="FJ273" s="444"/>
      <c r="FK273" s="444"/>
      <c r="FL273" s="444"/>
      <c r="FM273" s="444"/>
      <c r="FN273" s="444"/>
      <c r="FO273" s="444"/>
      <c r="FP273" s="444"/>
      <c r="FQ273" s="444"/>
      <c r="FR273" s="444"/>
      <c r="FS273" s="444"/>
      <c r="FT273" s="444"/>
      <c r="FU273" s="444"/>
      <c r="FV273" s="444"/>
      <c r="FW273" s="444"/>
      <c r="FX273" s="444"/>
      <c r="FY273" s="444"/>
      <c r="FZ273" s="444"/>
      <c r="GA273" s="444"/>
      <c r="GB273" s="444"/>
      <c r="GC273" s="444"/>
      <c r="GD273" s="444"/>
      <c r="GE273" s="444"/>
      <c r="GF273" s="444"/>
      <c r="GG273" s="444"/>
      <c r="GH273" s="444"/>
      <c r="GI273" s="444"/>
      <c r="GJ273" s="444"/>
      <c r="GK273" s="444"/>
      <c r="GL273" s="444"/>
      <c r="GM273" s="444"/>
      <c r="GN273" s="444"/>
      <c r="GO273" s="444"/>
      <c r="GP273" s="444"/>
      <c r="GQ273" s="444"/>
      <c r="GR273" s="444"/>
      <c r="GS273" s="444"/>
      <c r="GT273" s="444"/>
      <c r="GU273" s="444"/>
      <c r="GV273" s="444"/>
      <c r="GW273" s="444"/>
      <c r="GX273" s="444"/>
      <c r="GY273" s="444"/>
      <c r="GZ273" s="444"/>
      <c r="HA273" s="444"/>
      <c r="HB273" s="444"/>
      <c r="HC273" s="444"/>
      <c r="HD273" s="444"/>
      <c r="HE273" s="444"/>
      <c r="HF273" s="444"/>
      <c r="HG273" s="444"/>
      <c r="HH273" s="444"/>
      <c r="HI273" s="444"/>
      <c r="HJ273" s="444"/>
      <c r="HK273" s="444"/>
      <c r="HL273" s="444"/>
      <c r="HM273" s="444"/>
      <c r="HN273" s="444"/>
      <c r="HO273" s="444"/>
      <c r="HP273" s="444"/>
      <c r="HQ273" s="444"/>
      <c r="HR273" s="444"/>
      <c r="HS273" s="444"/>
      <c r="HT273" s="444"/>
      <c r="HU273" s="444"/>
      <c r="HV273" s="444"/>
      <c r="HW273" s="444"/>
      <c r="HX273" s="444"/>
      <c r="HY273" s="444"/>
      <c r="HZ273" s="444"/>
      <c r="IA273" s="444"/>
      <c r="IB273" s="444"/>
      <c r="IC273" s="444"/>
      <c r="ID273" s="444"/>
      <c r="IE273" s="444"/>
      <c r="IF273" s="444"/>
      <c r="IG273" s="444"/>
      <c r="IH273" s="444"/>
      <c r="II273" s="444"/>
      <c r="IJ273" s="444"/>
      <c r="IK273" s="444"/>
      <c r="IL273" s="444"/>
      <c r="IM273" s="444"/>
      <c r="IN273" s="444"/>
      <c r="IO273" s="444"/>
      <c r="IP273" s="444"/>
      <c r="IQ273" s="444"/>
      <c r="IR273" s="444"/>
      <c r="IS273" s="444"/>
      <c r="IT273" s="444"/>
      <c r="IU273" s="444"/>
      <c r="IV273" s="444"/>
    </row>
    <row r="274" spans="1:256" ht="18">
      <c r="A274" s="1227" t="s">
        <v>478</v>
      </c>
      <c r="B274" s="444"/>
      <c r="C274" s="570" t="s">
        <v>936</v>
      </c>
      <c r="D274" s="614"/>
      <c r="E274" s="614"/>
      <c r="F274" s="614"/>
      <c r="G274" s="614"/>
      <c r="H274" s="614"/>
      <c r="I274" s="614"/>
      <c r="J274" s="614"/>
      <c r="K274" s="614"/>
      <c r="L274" s="614"/>
      <c r="M274" s="444"/>
      <c r="N274" s="444"/>
      <c r="O274" s="444"/>
      <c r="P274" s="444"/>
      <c r="Q274" s="444"/>
      <c r="R274" s="444"/>
      <c r="S274" s="444"/>
      <c r="T274" s="444"/>
      <c r="U274" s="444"/>
      <c r="V274" s="444"/>
      <c r="W274" s="444"/>
      <c r="X274" s="444"/>
      <c r="Y274" s="444"/>
      <c r="Z274" s="444"/>
      <c r="AA274" s="444"/>
      <c r="AB274" s="444"/>
      <c r="AC274" s="444"/>
      <c r="AD274" s="444"/>
      <c r="AE274" s="444"/>
      <c r="AF274" s="444"/>
      <c r="AG274" s="444"/>
      <c r="AH274" s="444"/>
      <c r="AI274" s="444"/>
      <c r="AJ274" s="444"/>
      <c r="AK274" s="444"/>
      <c r="AL274" s="444"/>
      <c r="AM274" s="444"/>
      <c r="AN274" s="444"/>
      <c r="AO274" s="444"/>
      <c r="AP274" s="444"/>
      <c r="AQ274" s="444"/>
      <c r="AR274" s="444"/>
      <c r="AS274" s="444"/>
      <c r="AT274" s="444"/>
      <c r="AU274" s="444"/>
      <c r="AV274" s="444"/>
      <c r="AW274" s="444"/>
      <c r="AX274" s="444"/>
      <c r="AY274" s="444"/>
      <c r="AZ274" s="444"/>
      <c r="BA274" s="444"/>
      <c r="BB274" s="444"/>
      <c r="BC274" s="444"/>
      <c r="BD274" s="444"/>
      <c r="BE274" s="444"/>
      <c r="BF274" s="444"/>
      <c r="BG274" s="444"/>
      <c r="BH274" s="444"/>
      <c r="BI274" s="444"/>
      <c r="BJ274" s="444"/>
      <c r="BK274" s="444"/>
      <c r="BL274" s="444"/>
      <c r="BM274" s="444"/>
      <c r="BN274" s="444"/>
      <c r="BO274" s="444"/>
      <c r="BP274" s="444"/>
      <c r="BQ274" s="444"/>
      <c r="BR274" s="444"/>
      <c r="BS274" s="444"/>
      <c r="BT274" s="444"/>
      <c r="BU274" s="444"/>
      <c r="BV274" s="444"/>
      <c r="BW274" s="444"/>
      <c r="BX274" s="444"/>
      <c r="BY274" s="444"/>
      <c r="BZ274" s="444"/>
      <c r="CA274" s="444"/>
      <c r="CB274" s="444"/>
      <c r="CC274" s="444"/>
      <c r="CD274" s="444"/>
      <c r="CE274" s="444"/>
      <c r="CF274" s="444"/>
      <c r="CG274" s="444"/>
      <c r="CH274" s="444"/>
      <c r="CI274" s="444"/>
      <c r="CJ274" s="444"/>
      <c r="CK274" s="444"/>
      <c r="CL274" s="444"/>
      <c r="CM274" s="444"/>
      <c r="CN274" s="444"/>
      <c r="CO274" s="444"/>
      <c r="CP274" s="444"/>
      <c r="CQ274" s="444"/>
      <c r="CR274" s="444"/>
      <c r="CS274" s="444"/>
      <c r="CT274" s="444"/>
      <c r="CU274" s="444"/>
      <c r="CV274" s="444"/>
      <c r="CW274" s="444"/>
      <c r="CX274" s="444"/>
      <c r="CY274" s="444"/>
      <c r="CZ274" s="444"/>
      <c r="DA274" s="444"/>
      <c r="DB274" s="444"/>
      <c r="DC274" s="444"/>
      <c r="DD274" s="444"/>
      <c r="DE274" s="444"/>
      <c r="DF274" s="444"/>
      <c r="DG274" s="444"/>
      <c r="DH274" s="444"/>
      <c r="DI274" s="444"/>
      <c r="DJ274" s="444"/>
      <c r="DK274" s="444"/>
      <c r="DL274" s="444"/>
      <c r="DM274" s="444"/>
      <c r="DN274" s="444"/>
      <c r="DO274" s="444"/>
      <c r="DP274" s="444"/>
      <c r="DQ274" s="444"/>
      <c r="DR274" s="444"/>
      <c r="DS274" s="444"/>
      <c r="DT274" s="444"/>
      <c r="DU274" s="444"/>
      <c r="DV274" s="444"/>
      <c r="DW274" s="444"/>
      <c r="DX274" s="444"/>
      <c r="DY274" s="444"/>
      <c r="DZ274" s="444"/>
      <c r="EA274" s="444"/>
      <c r="EB274" s="444"/>
      <c r="EC274" s="444"/>
      <c r="ED274" s="444"/>
      <c r="EE274" s="444"/>
      <c r="EF274" s="444"/>
      <c r="EG274" s="444"/>
      <c r="EH274" s="444"/>
      <c r="EI274" s="444"/>
      <c r="EJ274" s="444"/>
      <c r="EK274" s="444"/>
      <c r="EL274" s="444"/>
      <c r="EM274" s="444"/>
      <c r="EN274" s="444"/>
      <c r="EO274" s="444"/>
      <c r="EP274" s="444"/>
      <c r="EQ274" s="444"/>
      <c r="ER274" s="444"/>
      <c r="ES274" s="444"/>
      <c r="ET274" s="444"/>
      <c r="EU274" s="444"/>
      <c r="EV274" s="444"/>
      <c r="EW274" s="444"/>
      <c r="EX274" s="444"/>
      <c r="EY274" s="444"/>
      <c r="EZ274" s="444"/>
      <c r="FA274" s="444"/>
      <c r="FB274" s="444"/>
      <c r="FC274" s="444"/>
      <c r="FD274" s="444"/>
      <c r="FE274" s="444"/>
      <c r="FF274" s="444"/>
      <c r="FG274" s="444"/>
      <c r="FH274" s="444"/>
      <c r="FI274" s="444"/>
      <c r="FJ274" s="444"/>
      <c r="FK274" s="444"/>
      <c r="FL274" s="444"/>
      <c r="FM274" s="444"/>
      <c r="FN274" s="444"/>
      <c r="FO274" s="444"/>
      <c r="FP274" s="444"/>
      <c r="FQ274" s="444"/>
      <c r="FR274" s="444"/>
      <c r="FS274" s="444"/>
      <c r="FT274" s="444"/>
      <c r="FU274" s="444"/>
      <c r="FV274" s="444"/>
      <c r="FW274" s="444"/>
      <c r="FX274" s="444"/>
      <c r="FY274" s="444"/>
      <c r="FZ274" s="444"/>
      <c r="GA274" s="444"/>
      <c r="GB274" s="444"/>
      <c r="GC274" s="444"/>
      <c r="GD274" s="444"/>
      <c r="GE274" s="444"/>
      <c r="GF274" s="444"/>
      <c r="GG274" s="444"/>
      <c r="GH274" s="444"/>
      <c r="GI274" s="444"/>
      <c r="GJ274" s="444"/>
      <c r="GK274" s="444"/>
      <c r="GL274" s="444"/>
      <c r="GM274" s="444"/>
      <c r="GN274" s="444"/>
      <c r="GO274" s="444"/>
      <c r="GP274" s="444"/>
      <c r="GQ274" s="444"/>
      <c r="GR274" s="444"/>
      <c r="GS274" s="444"/>
      <c r="GT274" s="444"/>
      <c r="GU274" s="444"/>
      <c r="GV274" s="444"/>
      <c r="GW274" s="444"/>
      <c r="GX274" s="444"/>
      <c r="GY274" s="444"/>
      <c r="GZ274" s="444"/>
      <c r="HA274" s="444"/>
      <c r="HB274" s="444"/>
      <c r="HC274" s="444"/>
      <c r="HD274" s="444"/>
      <c r="HE274" s="444"/>
      <c r="HF274" s="444"/>
      <c r="HG274" s="444"/>
      <c r="HH274" s="444"/>
      <c r="HI274" s="444"/>
      <c r="HJ274" s="444"/>
      <c r="HK274" s="444"/>
      <c r="HL274" s="444"/>
      <c r="HM274" s="444"/>
      <c r="HN274" s="444"/>
      <c r="HO274" s="444"/>
      <c r="HP274" s="444"/>
      <c r="HQ274" s="444"/>
      <c r="HR274" s="444"/>
      <c r="HS274" s="444"/>
      <c r="HT274" s="444"/>
      <c r="HU274" s="444"/>
      <c r="HV274" s="444"/>
      <c r="HW274" s="444"/>
      <c r="HX274" s="444"/>
      <c r="HY274" s="444"/>
      <c r="HZ274" s="444"/>
      <c r="IA274" s="444"/>
      <c r="IB274" s="444"/>
      <c r="IC274" s="444"/>
      <c r="ID274" s="444"/>
      <c r="IE274" s="444"/>
      <c r="IF274" s="444"/>
      <c r="IG274" s="444"/>
      <c r="IH274" s="444"/>
      <c r="II274" s="444"/>
      <c r="IJ274" s="444"/>
      <c r="IK274" s="444"/>
      <c r="IL274" s="444"/>
      <c r="IM274" s="444"/>
      <c r="IN274" s="444"/>
      <c r="IO274" s="444"/>
      <c r="IP274" s="444"/>
      <c r="IQ274" s="444"/>
      <c r="IR274" s="444"/>
      <c r="IS274" s="444"/>
      <c r="IT274" s="444"/>
      <c r="IU274" s="444"/>
      <c r="IV274" s="444"/>
    </row>
    <row r="275" spans="1:256" ht="18.75">
      <c r="A275" s="413" t="s">
        <v>479</v>
      </c>
      <c r="B275" s="97"/>
      <c r="C275" s="645" t="s">
        <v>501</v>
      </c>
      <c r="D275" s="569"/>
      <c r="E275" s="569"/>
      <c r="F275" s="569"/>
      <c r="G275" s="569"/>
      <c r="H275" s="569"/>
      <c r="I275" s="569"/>
      <c r="J275" s="569"/>
      <c r="K275" s="569"/>
      <c r="L275" s="569"/>
      <c r="M275" s="105"/>
      <c r="N275" s="84"/>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256" ht="18.75">
      <c r="A276" s="96"/>
      <c r="B276" s="97"/>
      <c r="C276" s="645" t="s">
        <v>937</v>
      </c>
      <c r="D276" s="569"/>
      <c r="E276" s="569"/>
      <c r="F276" s="569"/>
      <c r="G276" s="569"/>
      <c r="H276" s="569"/>
      <c r="I276" s="569"/>
      <c r="J276" s="569"/>
      <c r="K276" s="569"/>
      <c r="L276" s="569"/>
      <c r="M276" s="105"/>
      <c r="N276" s="84"/>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row>
    <row r="277" spans="1:256" ht="18.75">
      <c r="A277" s="96" t="s">
        <v>482</v>
      </c>
      <c r="B277" s="97"/>
      <c r="C277" s="872" t="s">
        <v>1050</v>
      </c>
      <c r="D277" s="600"/>
      <c r="E277" s="600"/>
      <c r="F277" s="600"/>
      <c r="G277" s="600"/>
      <c r="H277" s="600"/>
      <c r="I277" s="600"/>
      <c r="J277" s="600"/>
      <c r="K277" s="600"/>
      <c r="L277" s="600"/>
      <c r="M277" s="105"/>
      <c r="N277" s="6"/>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row>
    <row r="278" spans="1:256" ht="18">
      <c r="A278" s="107" t="s">
        <v>487</v>
      </c>
      <c r="B278" s="92"/>
      <c r="C278" s="871" t="s">
        <v>488</v>
      </c>
      <c r="D278" s="871"/>
      <c r="E278" s="871"/>
      <c r="F278" s="871"/>
      <c r="G278" s="871"/>
      <c r="H278" s="871"/>
      <c r="I278" s="871"/>
      <c r="J278" s="871"/>
      <c r="K278" s="871"/>
      <c r="L278" s="871"/>
      <c r="M278" s="84"/>
      <c r="N278" s="6"/>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row>
    <row r="279" spans="1:256" ht="18">
      <c r="A279" s="107" t="s">
        <v>503</v>
      </c>
      <c r="B279" s="92"/>
      <c r="C279" s="871" t="s">
        <v>507</v>
      </c>
      <c r="D279" s="871"/>
      <c r="E279" s="871"/>
      <c r="F279" s="871"/>
      <c r="G279" s="871"/>
      <c r="H279" s="871"/>
      <c r="I279" s="871"/>
      <c r="J279" s="871"/>
      <c r="K279" s="871"/>
      <c r="L279" s="871"/>
      <c r="M279" s="84"/>
      <c r="N279" s="6"/>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row>
    <row r="280" spans="1:256" ht="18">
      <c r="A280" s="107" t="s">
        <v>753</v>
      </c>
      <c r="B280" s="92"/>
      <c r="C280" s="1647" t="s">
        <v>1051</v>
      </c>
      <c r="D280" s="1647"/>
      <c r="E280" s="1647"/>
      <c r="F280" s="1647"/>
      <c r="G280" s="1647"/>
      <c r="H280" s="1647"/>
      <c r="I280" s="1647"/>
      <c r="J280" s="1647"/>
      <c r="K280" s="1647"/>
      <c r="L280" s="1647"/>
      <c r="M280" s="108"/>
      <c r="N280" s="109"/>
      <c r="O280" s="63"/>
      <c r="P280" s="63"/>
      <c r="Q280" s="63"/>
    </row>
    <row r="281" spans="1:256" ht="37.5" customHeight="1">
      <c r="A281" s="1556" t="s">
        <v>1175</v>
      </c>
      <c r="B281" s="1557"/>
      <c r="C281" s="1646" t="s">
        <v>1176</v>
      </c>
      <c r="D281" s="1646"/>
      <c r="E281" s="1646"/>
      <c r="F281" s="1646"/>
      <c r="G281" s="1646"/>
      <c r="H281" s="1646"/>
      <c r="I281" s="1646"/>
      <c r="J281" s="1646"/>
      <c r="K281" s="1646"/>
      <c r="L281" s="1646"/>
      <c r="M281" s="108"/>
      <c r="N281" s="109"/>
      <c r="O281" s="63"/>
      <c r="P281" s="63"/>
      <c r="Q281" s="63"/>
    </row>
    <row r="282" spans="1:256" ht="21.75" customHeight="1">
      <c r="A282" s="92"/>
      <c r="B282" s="92"/>
      <c r="M282" s="108"/>
      <c r="N282" s="109"/>
      <c r="O282" s="63"/>
      <c r="P282" s="63"/>
      <c r="Q282" s="63"/>
    </row>
    <row r="283" spans="1:256" ht="18">
      <c r="A283" s="92"/>
      <c r="B283" s="92"/>
      <c r="C283" s="581"/>
      <c r="D283" s="582"/>
      <c r="E283" s="580"/>
      <c r="F283" s="580"/>
      <c r="G283" s="582"/>
      <c r="H283" s="582"/>
      <c r="I283" s="109"/>
      <c r="J283" s="109"/>
      <c r="K283" s="109"/>
      <c r="L283" s="109"/>
      <c r="M283" s="109"/>
      <c r="N283" s="109"/>
      <c r="O283" s="63"/>
      <c r="P283" s="63"/>
      <c r="Q283" s="63"/>
    </row>
    <row r="284" spans="1:256" ht="18">
      <c r="A284" s="92"/>
      <c r="B284" s="92"/>
      <c r="C284" s="582"/>
      <c r="D284" s="581"/>
      <c r="E284" s="580"/>
      <c r="F284" s="580"/>
      <c r="G284" s="582"/>
      <c r="H284" s="583"/>
      <c r="I284" s="109"/>
      <c r="J284" s="109"/>
      <c r="K284" s="109"/>
      <c r="L284" s="109"/>
      <c r="M284" s="109"/>
      <c r="N284" s="109"/>
      <c r="O284" s="63"/>
      <c r="P284" s="63"/>
      <c r="Q284" s="63"/>
    </row>
    <row r="285" spans="1:256" ht="18">
      <c r="A285" s="92"/>
      <c r="B285" s="92"/>
      <c r="C285" s="581"/>
      <c r="D285" s="581"/>
      <c r="E285" s="580"/>
      <c r="F285" s="580"/>
      <c r="G285" s="582"/>
      <c r="H285" s="584"/>
      <c r="I285" s="63"/>
      <c r="J285" s="63"/>
      <c r="K285" s="63"/>
      <c r="L285" s="63"/>
      <c r="M285" s="63"/>
      <c r="N285" s="63"/>
      <c r="O285" s="63"/>
      <c r="P285" s="63"/>
      <c r="Q285" s="63"/>
    </row>
    <row r="286" spans="1:256" ht="18">
      <c r="A286" s="92"/>
      <c r="B286" s="92"/>
      <c r="C286" s="582"/>
      <c r="D286" s="581"/>
      <c r="E286" s="580"/>
      <c r="F286" s="580"/>
      <c r="G286" s="582"/>
      <c r="H286" s="585"/>
      <c r="I286" s="63"/>
      <c r="J286" s="63"/>
      <c r="K286" s="63"/>
      <c r="L286" s="63"/>
      <c r="M286" s="63"/>
      <c r="N286" s="63"/>
      <c r="O286" s="63"/>
      <c r="P286" s="63"/>
      <c r="Q286" s="63"/>
    </row>
    <row r="287" spans="1:256">
      <c r="C287" s="63"/>
      <c r="D287" s="63"/>
      <c r="E287" s="63"/>
      <c r="F287" s="63"/>
      <c r="G287" s="63"/>
      <c r="H287" s="63"/>
      <c r="I287" s="63"/>
      <c r="J287" s="63"/>
      <c r="K287" s="63"/>
      <c r="L287" s="63"/>
      <c r="M287" s="63"/>
      <c r="N287" s="63"/>
      <c r="O287" s="63"/>
      <c r="P287" s="63"/>
      <c r="Q287" s="63"/>
    </row>
    <row r="288" spans="1:256">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row r="501" spans="3:17">
      <c r="C501" s="63"/>
      <c r="D501" s="63"/>
      <c r="E501" s="63"/>
      <c r="F501" s="63"/>
      <c r="G501" s="63"/>
      <c r="H501" s="63"/>
      <c r="I501" s="63"/>
      <c r="J501" s="63"/>
      <c r="K501" s="63"/>
      <c r="L501" s="63"/>
      <c r="M501" s="63"/>
      <c r="N501" s="63"/>
      <c r="O501" s="63"/>
      <c r="P501" s="63"/>
      <c r="Q501" s="63"/>
    </row>
    <row r="502" spans="3:17">
      <c r="C502" s="63"/>
      <c r="D502" s="63"/>
      <c r="E502" s="63"/>
      <c r="F502" s="63"/>
      <c r="G502" s="63"/>
      <c r="H502" s="63"/>
      <c r="I502" s="63"/>
      <c r="J502" s="63"/>
      <c r="K502" s="63"/>
      <c r="L502" s="63"/>
      <c r="M502" s="63"/>
      <c r="N502" s="63"/>
      <c r="O502" s="63"/>
      <c r="P502" s="63"/>
      <c r="Q502" s="63"/>
    </row>
    <row r="503" spans="3:17">
      <c r="C503" s="63"/>
      <c r="D503" s="63"/>
      <c r="E503" s="63"/>
      <c r="F503" s="63"/>
      <c r="G503" s="63"/>
      <c r="H503" s="63"/>
      <c r="I503" s="63"/>
      <c r="J503" s="63"/>
      <c r="K503" s="63"/>
      <c r="L503" s="63"/>
      <c r="M503" s="63"/>
      <c r="N503" s="63"/>
      <c r="O503" s="63"/>
      <c r="P503" s="63"/>
      <c r="Q503" s="63"/>
    </row>
    <row r="504" spans="3:17">
      <c r="C504" s="63"/>
      <c r="D504" s="63"/>
      <c r="E504" s="63"/>
      <c r="F504" s="63"/>
      <c r="G504" s="63"/>
      <c r="H504" s="63"/>
      <c r="I504" s="63"/>
      <c r="J504" s="63"/>
      <c r="K504" s="63"/>
      <c r="L504" s="63"/>
      <c r="M504" s="63"/>
      <c r="N504" s="63"/>
      <c r="O504" s="63"/>
      <c r="P504" s="63"/>
      <c r="Q504" s="63"/>
    </row>
    <row r="505" spans="3:17">
      <c r="C505" s="63"/>
      <c r="D505" s="63"/>
      <c r="E505" s="63"/>
      <c r="F505" s="63"/>
      <c r="G505" s="63"/>
      <c r="H505" s="63"/>
      <c r="I505" s="63"/>
      <c r="J505" s="63"/>
      <c r="K505" s="63"/>
      <c r="L505" s="63"/>
      <c r="M505" s="63"/>
      <c r="N505" s="63"/>
      <c r="O505" s="63"/>
      <c r="P505" s="63"/>
      <c r="Q505" s="63"/>
    </row>
  </sheetData>
  <mergeCells count="7">
    <mergeCell ref="C273:L273"/>
    <mergeCell ref="K216:M216"/>
    <mergeCell ref="C281:L281"/>
    <mergeCell ref="C263:L263"/>
    <mergeCell ref="C269:L270"/>
    <mergeCell ref="C271:L272"/>
    <mergeCell ref="C280:L280"/>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3" max="12" man="1"/>
    <brk id="101" max="16383" man="1"/>
    <brk id="175" max="12" man="1"/>
    <brk id="219"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AC46"/>
  <sheetViews>
    <sheetView view="pageBreakPreview" zoomScale="75" zoomScaleNormal="100" zoomScaleSheetLayoutView="75" workbookViewId="0">
      <selection activeCell="N2" sqref="N2"/>
    </sheetView>
  </sheetViews>
  <sheetFormatPr defaultColWidth="7" defaultRowHeight="11.25"/>
  <cols>
    <col min="1" max="2" width="2.88671875" style="1397" customWidth="1"/>
    <col min="3" max="3" width="33.77734375" style="1377" customWidth="1"/>
    <col min="4" max="4" width="12.44140625" style="1377" customWidth="1"/>
    <col min="5" max="5" width="10.6640625" style="1377" customWidth="1"/>
    <col min="6" max="6" width="9.109375" style="1377" customWidth="1"/>
    <col min="7" max="7" width="9.6640625" style="1377" customWidth="1"/>
    <col min="8" max="16" width="7.6640625" style="1377" customWidth="1"/>
    <col min="17" max="17" width="7.6640625" style="1397" customWidth="1"/>
    <col min="18" max="18" width="7.6640625" style="1403" customWidth="1"/>
    <col min="19" max="19" width="7.6640625" style="1404" customWidth="1"/>
    <col min="20" max="20" width="7.6640625" style="1405" customWidth="1"/>
    <col min="21" max="21" width="10.77734375" style="1406" bestFit="1" customWidth="1"/>
    <col min="22" max="22" width="1.33203125" style="1453" customWidth="1"/>
    <col min="23" max="23" width="10.21875" style="1397" customWidth="1"/>
    <col min="24" max="24" width="1.33203125" style="1453" customWidth="1"/>
    <col min="25" max="25" width="7.88671875" style="1397" customWidth="1"/>
    <col min="26" max="26" width="8.109375" style="1377" customWidth="1"/>
    <col min="27" max="27" width="1.33203125" style="1397" customWidth="1"/>
    <col min="28" max="28" width="8.21875" style="1377" customWidth="1"/>
    <col min="29" max="29" width="1.33203125" style="1397" customWidth="1"/>
    <col min="30" max="30" width="6.77734375" style="1377" customWidth="1"/>
    <col min="31" max="31" width="1.44140625" style="1377" customWidth="1"/>
    <col min="32" max="32" width="7.109375" style="1377" customWidth="1"/>
    <col min="33" max="16384" width="7" style="1377"/>
  </cols>
  <sheetData>
    <row r="1" spans="1:29" ht="15">
      <c r="A1" s="1254" t="s">
        <v>1068</v>
      </c>
      <c r="H1" s="1254" t="s">
        <v>1068</v>
      </c>
      <c r="U1" s="1254" t="s">
        <v>1068</v>
      </c>
    </row>
    <row r="2" spans="1:29" ht="15.75">
      <c r="A2" s="1254" t="s">
        <v>1067</v>
      </c>
      <c r="H2" s="1254" t="s">
        <v>1067</v>
      </c>
      <c r="U2" s="1254" t="s">
        <v>1067</v>
      </c>
    </row>
    <row r="4" spans="1:29" s="1360" customFormat="1">
      <c r="C4" s="1360" t="s">
        <v>459</v>
      </c>
      <c r="D4" s="1360" t="s">
        <v>591</v>
      </c>
      <c r="E4" s="1360" t="s">
        <v>839</v>
      </c>
      <c r="F4" s="1360" t="s">
        <v>589</v>
      </c>
      <c r="G4" s="1360" t="s">
        <v>840</v>
      </c>
      <c r="H4" s="1360" t="s">
        <v>587</v>
      </c>
      <c r="I4" s="1360" t="s">
        <v>586</v>
      </c>
      <c r="J4" s="1360" t="s">
        <v>585</v>
      </c>
      <c r="K4" s="1360" t="s">
        <v>848</v>
      </c>
      <c r="L4" s="1360" t="s">
        <v>849</v>
      </c>
      <c r="M4" s="1360" t="s">
        <v>850</v>
      </c>
      <c r="N4" s="1360" t="s">
        <v>851</v>
      </c>
      <c r="O4" s="1360" t="s">
        <v>852</v>
      </c>
      <c r="P4" s="1361" t="s">
        <v>853</v>
      </c>
      <c r="Q4" s="1360" t="s">
        <v>854</v>
      </c>
      <c r="R4" s="1362" t="s">
        <v>855</v>
      </c>
      <c r="S4" s="1360" t="s">
        <v>856</v>
      </c>
      <c r="T4" s="1360" t="s">
        <v>857</v>
      </c>
      <c r="U4" s="1360" t="s">
        <v>858</v>
      </c>
      <c r="W4" s="1360" t="s">
        <v>859</v>
      </c>
      <c r="Y4" s="1360" t="s">
        <v>860</v>
      </c>
    </row>
    <row r="5" spans="1:29" s="1367" customFormat="1" ht="41.25" customHeight="1">
      <c r="A5" s="1768" t="s">
        <v>16</v>
      </c>
      <c r="B5" s="1445"/>
      <c r="C5" s="1768" t="s">
        <v>392</v>
      </c>
      <c r="D5" s="1768" t="s">
        <v>1008</v>
      </c>
      <c r="E5" s="1768" t="s">
        <v>861</v>
      </c>
      <c r="F5" s="1768" t="s">
        <v>862</v>
      </c>
      <c r="G5" s="1768" t="s">
        <v>863</v>
      </c>
      <c r="H5" s="1414" t="s">
        <v>864</v>
      </c>
      <c r="I5" s="1366" t="s">
        <v>865</v>
      </c>
      <c r="J5" s="1366" t="s">
        <v>866</v>
      </c>
      <c r="K5" s="1366" t="s">
        <v>867</v>
      </c>
      <c r="L5" s="1366" t="s">
        <v>868</v>
      </c>
      <c r="M5" s="1366" t="s">
        <v>869</v>
      </c>
      <c r="N5" s="1366" t="s">
        <v>868</v>
      </c>
      <c r="O5" s="1366" t="s">
        <v>870</v>
      </c>
      <c r="P5" s="1366" t="s">
        <v>871</v>
      </c>
      <c r="Q5" s="1366" t="s">
        <v>872</v>
      </c>
      <c r="R5" s="1366" t="s">
        <v>873</v>
      </c>
      <c r="S5" s="1366" t="s">
        <v>874</v>
      </c>
      <c r="T5" s="1366" t="s">
        <v>864</v>
      </c>
      <c r="U5" s="1768" t="s">
        <v>875</v>
      </c>
      <c r="V5" s="1768" t="s">
        <v>845</v>
      </c>
      <c r="W5" s="1768" t="s">
        <v>876</v>
      </c>
      <c r="X5" s="1768" t="s">
        <v>65</v>
      </c>
      <c r="Y5" s="1768" t="s">
        <v>877</v>
      </c>
    </row>
    <row r="6" spans="1:29" s="1367" customFormat="1" ht="11.25" customHeight="1">
      <c r="A6" s="1760"/>
      <c r="B6" s="1434"/>
      <c r="C6" s="1760"/>
      <c r="D6" s="1760"/>
      <c r="E6" s="1760" t="s">
        <v>861</v>
      </c>
      <c r="F6" s="1760"/>
      <c r="G6" s="1760"/>
      <c r="H6" s="1468" t="s">
        <v>1078</v>
      </c>
      <c r="I6" s="1469" t="s">
        <v>1081</v>
      </c>
      <c r="J6" s="1469" t="s">
        <v>1081</v>
      </c>
      <c r="K6" s="1469" t="s">
        <v>1081</v>
      </c>
      <c r="L6" s="1469" t="s">
        <v>1081</v>
      </c>
      <c r="M6" s="1469" t="s">
        <v>1081</v>
      </c>
      <c r="N6" s="1469" t="s">
        <v>1081</v>
      </c>
      <c r="O6" s="1469" t="s">
        <v>1081</v>
      </c>
      <c r="P6" s="1469" t="s">
        <v>1081</v>
      </c>
      <c r="Q6" s="1469" t="s">
        <v>1081</v>
      </c>
      <c r="R6" s="1469" t="s">
        <v>1081</v>
      </c>
      <c r="S6" s="1469" t="s">
        <v>1081</v>
      </c>
      <c r="T6" s="1469" t="s">
        <v>1081</v>
      </c>
      <c r="U6" s="1760"/>
      <c r="V6" s="1760"/>
      <c r="W6" s="1760"/>
      <c r="X6" s="1760"/>
      <c r="Y6" s="1760"/>
    </row>
    <row r="7" spans="1:29">
      <c r="A7" s="1420" t="s">
        <v>312</v>
      </c>
      <c r="B7" s="1420"/>
      <c r="C7" s="1459"/>
      <c r="D7" s="1460"/>
      <c r="E7" s="1461"/>
      <c r="F7" s="1461"/>
      <c r="G7" s="1462"/>
      <c r="H7" s="1463"/>
      <c r="I7" s="1463"/>
      <c r="J7" s="1463"/>
      <c r="K7" s="1463"/>
      <c r="L7" s="1463"/>
      <c r="M7" s="1463"/>
      <c r="N7" s="1463"/>
      <c r="O7" s="1463"/>
      <c r="P7" s="1463"/>
      <c r="Q7" s="1463"/>
      <c r="R7" s="1463"/>
      <c r="S7" s="1463"/>
      <c r="T7" s="1463"/>
      <c r="U7" s="1418">
        <f t="shared" ref="U7:U31" si="0">SUM(H7:T7)/13</f>
        <v>0</v>
      </c>
      <c r="V7" s="1446"/>
      <c r="W7" s="1457">
        <v>0</v>
      </c>
      <c r="X7" s="1446"/>
      <c r="Y7" s="1421">
        <f t="shared" ref="Y7:Y31" si="1">U7*W7</f>
        <v>0</v>
      </c>
      <c r="AA7" s="1377"/>
      <c r="AC7" s="1377"/>
    </row>
    <row r="8" spans="1:29">
      <c r="A8" s="1378" t="s">
        <v>879</v>
      </c>
      <c r="B8" s="1378"/>
      <c r="C8" s="1459"/>
      <c r="D8" s="1459"/>
      <c r="E8" s="1464"/>
      <c r="F8" s="1464"/>
      <c r="G8" s="1462"/>
      <c r="H8" s="1465"/>
      <c r="I8" s="1465"/>
      <c r="J8" s="1465"/>
      <c r="K8" s="1465"/>
      <c r="L8" s="1465"/>
      <c r="M8" s="1465"/>
      <c r="N8" s="1465"/>
      <c r="O8" s="1465"/>
      <c r="P8" s="1465"/>
      <c r="Q8" s="1465"/>
      <c r="R8" s="1465"/>
      <c r="S8" s="1465"/>
      <c r="T8" s="1465"/>
      <c r="U8" s="1379">
        <f t="shared" si="0"/>
        <v>0</v>
      </c>
      <c r="V8" s="1380"/>
      <c r="W8" s="1458">
        <v>0</v>
      </c>
      <c r="X8" s="1380"/>
      <c r="Y8" s="1447">
        <f t="shared" si="1"/>
        <v>0</v>
      </c>
      <c r="AA8" s="1377"/>
      <c r="AC8" s="1377"/>
    </row>
    <row r="9" spans="1:29">
      <c r="A9" s="1378" t="s">
        <v>880</v>
      </c>
      <c r="B9" s="1378"/>
      <c r="C9" s="1459"/>
      <c r="D9" s="1459"/>
      <c r="E9" s="1459"/>
      <c r="F9" s="1459"/>
      <c r="G9" s="1462"/>
      <c r="H9" s="1465"/>
      <c r="I9" s="1465"/>
      <c r="J9" s="1465"/>
      <c r="K9" s="1465"/>
      <c r="L9" s="1465"/>
      <c r="M9" s="1465"/>
      <c r="N9" s="1465"/>
      <c r="O9" s="1465"/>
      <c r="P9" s="1466"/>
      <c r="Q9" s="1465"/>
      <c r="R9" s="1467"/>
      <c r="S9" s="1465"/>
      <c r="T9" s="1466"/>
      <c r="U9" s="1379">
        <f t="shared" si="0"/>
        <v>0</v>
      </c>
      <c r="V9" s="1380"/>
      <c r="W9" s="1458">
        <v>0</v>
      </c>
      <c r="X9" s="1380"/>
      <c r="Y9" s="1447">
        <f t="shared" si="1"/>
        <v>0</v>
      </c>
      <c r="AA9" s="1377"/>
      <c r="AC9" s="1377"/>
    </row>
    <row r="10" spans="1:29">
      <c r="A10" s="1378" t="s">
        <v>380</v>
      </c>
      <c r="B10" s="1378"/>
      <c r="C10" s="1459"/>
      <c r="D10" s="1459"/>
      <c r="E10" s="1459"/>
      <c r="F10" s="1459"/>
      <c r="G10" s="1462"/>
      <c r="H10" s="1465"/>
      <c r="I10" s="1465"/>
      <c r="J10" s="1465"/>
      <c r="K10" s="1465"/>
      <c r="L10" s="1465"/>
      <c r="M10" s="1465"/>
      <c r="N10" s="1465"/>
      <c r="O10" s="1465"/>
      <c r="P10" s="1466"/>
      <c r="Q10" s="1465"/>
      <c r="R10" s="1467"/>
      <c r="S10" s="1465"/>
      <c r="T10" s="1466"/>
      <c r="U10" s="1379">
        <f t="shared" si="0"/>
        <v>0</v>
      </c>
      <c r="V10" s="1380"/>
      <c r="W10" s="1458">
        <v>0</v>
      </c>
      <c r="X10" s="1380"/>
      <c r="Y10" s="1447">
        <f t="shared" si="1"/>
        <v>0</v>
      </c>
      <c r="AA10" s="1377"/>
      <c r="AC10" s="1377"/>
    </row>
    <row r="11" spans="1:29">
      <c r="A11" s="1378" t="s">
        <v>380</v>
      </c>
      <c r="B11" s="1378"/>
      <c r="C11" s="1459"/>
      <c r="D11" s="1459"/>
      <c r="E11" s="1459"/>
      <c r="F11" s="1459"/>
      <c r="G11" s="1462"/>
      <c r="H11" s="1465"/>
      <c r="I11" s="1465"/>
      <c r="J11" s="1465"/>
      <c r="K11" s="1465"/>
      <c r="L11" s="1465"/>
      <c r="M11" s="1465"/>
      <c r="N11" s="1465"/>
      <c r="O11" s="1465"/>
      <c r="P11" s="1466"/>
      <c r="Q11" s="1465"/>
      <c r="R11" s="1467"/>
      <c r="S11" s="1465"/>
      <c r="T11" s="1466"/>
      <c r="U11" s="1379">
        <f t="shared" si="0"/>
        <v>0</v>
      </c>
      <c r="V11" s="1380"/>
      <c r="W11" s="1458">
        <v>0</v>
      </c>
      <c r="X11" s="1380"/>
      <c r="Y11" s="1447">
        <f t="shared" si="1"/>
        <v>0</v>
      </c>
      <c r="AA11" s="1377"/>
      <c r="AC11" s="1377"/>
    </row>
    <row r="12" spans="1:29">
      <c r="A12" s="1378" t="s">
        <v>380</v>
      </c>
      <c r="B12" s="1378"/>
      <c r="C12" s="1459"/>
      <c r="D12" s="1459"/>
      <c r="E12" s="1459"/>
      <c r="F12" s="1459"/>
      <c r="G12" s="1462"/>
      <c r="H12" s="1465"/>
      <c r="I12" s="1465"/>
      <c r="J12" s="1465"/>
      <c r="K12" s="1465"/>
      <c r="L12" s="1465"/>
      <c r="M12" s="1465"/>
      <c r="N12" s="1465"/>
      <c r="O12" s="1465"/>
      <c r="P12" s="1466"/>
      <c r="Q12" s="1465"/>
      <c r="R12" s="1467"/>
      <c r="S12" s="1465"/>
      <c r="T12" s="1466"/>
      <c r="U12" s="1379">
        <f t="shared" si="0"/>
        <v>0</v>
      </c>
      <c r="V12" s="1380"/>
      <c r="W12" s="1458">
        <v>0</v>
      </c>
      <c r="X12" s="1380"/>
      <c r="Y12" s="1447">
        <f t="shared" si="1"/>
        <v>0</v>
      </c>
      <c r="AA12" s="1377"/>
      <c r="AC12" s="1377"/>
    </row>
    <row r="13" spans="1:29">
      <c r="A13" s="1378" t="s">
        <v>380</v>
      </c>
      <c r="B13" s="1378"/>
      <c r="C13" s="1459"/>
      <c r="D13" s="1459"/>
      <c r="E13" s="1459"/>
      <c r="F13" s="1459"/>
      <c r="G13" s="1462"/>
      <c r="H13" s="1465"/>
      <c r="I13" s="1465"/>
      <c r="J13" s="1465"/>
      <c r="K13" s="1465"/>
      <c r="L13" s="1465"/>
      <c r="M13" s="1465"/>
      <c r="N13" s="1465"/>
      <c r="O13" s="1465"/>
      <c r="P13" s="1466"/>
      <c r="Q13" s="1465"/>
      <c r="R13" s="1467"/>
      <c r="S13" s="1465"/>
      <c r="T13" s="1466"/>
      <c r="U13" s="1379">
        <f t="shared" si="0"/>
        <v>0</v>
      </c>
      <c r="V13" s="1380"/>
      <c r="W13" s="1458">
        <v>0</v>
      </c>
      <c r="X13" s="1380"/>
      <c r="Y13" s="1447">
        <f t="shared" si="1"/>
        <v>0</v>
      </c>
      <c r="AA13" s="1377"/>
      <c r="AC13" s="1377"/>
    </row>
    <row r="14" spans="1:29">
      <c r="A14" s="1378" t="s">
        <v>380</v>
      </c>
      <c r="B14" s="1378"/>
      <c r="C14" s="1459"/>
      <c r="D14" s="1459"/>
      <c r="E14" s="1459"/>
      <c r="F14" s="1459"/>
      <c r="G14" s="1462"/>
      <c r="H14" s="1465"/>
      <c r="I14" s="1465"/>
      <c r="J14" s="1465"/>
      <c r="K14" s="1465"/>
      <c r="L14" s="1465"/>
      <c r="M14" s="1465"/>
      <c r="N14" s="1465"/>
      <c r="O14" s="1465"/>
      <c r="P14" s="1466"/>
      <c r="Q14" s="1465"/>
      <c r="R14" s="1467"/>
      <c r="S14" s="1465"/>
      <c r="T14" s="1466"/>
      <c r="U14" s="1379">
        <f t="shared" si="0"/>
        <v>0</v>
      </c>
      <c r="V14" s="1380"/>
      <c r="W14" s="1458">
        <v>0</v>
      </c>
      <c r="X14" s="1380"/>
      <c r="Y14" s="1447">
        <f t="shared" si="1"/>
        <v>0</v>
      </c>
      <c r="AA14" s="1377"/>
      <c r="AC14" s="1377"/>
    </row>
    <row r="15" spans="1:29">
      <c r="A15" s="1378" t="s">
        <v>380</v>
      </c>
      <c r="B15" s="1378"/>
      <c r="C15" s="1459"/>
      <c r="D15" s="1459"/>
      <c r="E15" s="1459"/>
      <c r="F15" s="1459"/>
      <c r="G15" s="1462"/>
      <c r="H15" s="1465"/>
      <c r="I15" s="1465"/>
      <c r="J15" s="1465"/>
      <c r="K15" s="1465"/>
      <c r="L15" s="1465"/>
      <c r="M15" s="1465"/>
      <c r="N15" s="1465"/>
      <c r="O15" s="1465"/>
      <c r="P15" s="1466"/>
      <c r="Q15" s="1465"/>
      <c r="R15" s="1467"/>
      <c r="S15" s="1465"/>
      <c r="T15" s="1466"/>
      <c r="U15" s="1379">
        <f t="shared" si="0"/>
        <v>0</v>
      </c>
      <c r="V15" s="1380"/>
      <c r="W15" s="1458">
        <v>0</v>
      </c>
      <c r="X15" s="1380"/>
      <c r="Y15" s="1447">
        <f t="shared" si="1"/>
        <v>0</v>
      </c>
      <c r="AA15" s="1377"/>
      <c r="AC15" s="1377"/>
    </row>
    <row r="16" spans="1:29">
      <c r="A16" s="1378" t="s">
        <v>380</v>
      </c>
      <c r="B16" s="1378"/>
      <c r="C16" s="1459"/>
      <c r="D16" s="1459"/>
      <c r="E16" s="1459"/>
      <c r="F16" s="1459"/>
      <c r="G16" s="1462"/>
      <c r="H16" s="1465"/>
      <c r="I16" s="1465"/>
      <c r="J16" s="1465"/>
      <c r="K16" s="1465"/>
      <c r="L16" s="1465"/>
      <c r="M16" s="1465"/>
      <c r="N16" s="1465"/>
      <c r="O16" s="1465"/>
      <c r="P16" s="1466"/>
      <c r="Q16" s="1465"/>
      <c r="R16" s="1467"/>
      <c r="S16" s="1465"/>
      <c r="T16" s="1466"/>
      <c r="U16" s="1379">
        <f t="shared" si="0"/>
        <v>0</v>
      </c>
      <c r="V16" s="1380"/>
      <c r="W16" s="1458">
        <v>0</v>
      </c>
      <c r="X16" s="1380"/>
      <c r="Y16" s="1447">
        <f t="shared" si="1"/>
        <v>0</v>
      </c>
      <c r="AA16" s="1377"/>
      <c r="AC16" s="1377"/>
    </row>
    <row r="17" spans="1:29">
      <c r="A17" s="1378" t="s">
        <v>380</v>
      </c>
      <c r="B17" s="1378"/>
      <c r="C17" s="1459"/>
      <c r="D17" s="1459"/>
      <c r="E17" s="1459"/>
      <c r="F17" s="1459"/>
      <c r="G17" s="1462"/>
      <c r="H17" s="1465"/>
      <c r="I17" s="1465"/>
      <c r="J17" s="1465"/>
      <c r="K17" s="1465"/>
      <c r="L17" s="1465"/>
      <c r="M17" s="1465"/>
      <c r="N17" s="1465"/>
      <c r="O17" s="1465"/>
      <c r="P17" s="1466"/>
      <c r="Q17" s="1465"/>
      <c r="R17" s="1467"/>
      <c r="S17" s="1465"/>
      <c r="T17" s="1466"/>
      <c r="U17" s="1379">
        <f t="shared" si="0"/>
        <v>0</v>
      </c>
      <c r="V17" s="1380"/>
      <c r="W17" s="1458">
        <v>0</v>
      </c>
      <c r="X17" s="1380"/>
      <c r="Y17" s="1447">
        <f t="shared" si="1"/>
        <v>0</v>
      </c>
      <c r="AA17" s="1377"/>
      <c r="AC17" s="1377"/>
    </row>
    <row r="18" spans="1:29">
      <c r="A18" s="1378" t="s">
        <v>380</v>
      </c>
      <c r="B18" s="1378"/>
      <c r="C18" s="1459"/>
      <c r="D18" s="1459"/>
      <c r="E18" s="1459"/>
      <c r="F18" s="1459"/>
      <c r="G18" s="1462"/>
      <c r="H18" s="1465"/>
      <c r="I18" s="1465"/>
      <c r="J18" s="1465"/>
      <c r="K18" s="1465"/>
      <c r="L18" s="1465"/>
      <c r="M18" s="1465"/>
      <c r="N18" s="1465"/>
      <c r="O18" s="1465"/>
      <c r="P18" s="1466"/>
      <c r="Q18" s="1465"/>
      <c r="R18" s="1467"/>
      <c r="S18" s="1465"/>
      <c r="T18" s="1466"/>
      <c r="U18" s="1379">
        <f t="shared" si="0"/>
        <v>0</v>
      </c>
      <c r="V18" s="1380"/>
      <c r="W18" s="1458">
        <v>0</v>
      </c>
      <c r="X18" s="1380"/>
      <c r="Y18" s="1447">
        <f t="shared" si="1"/>
        <v>0</v>
      </c>
      <c r="AA18" s="1377"/>
      <c r="AC18" s="1377"/>
    </row>
    <row r="19" spans="1:29">
      <c r="A19" s="1378" t="s">
        <v>380</v>
      </c>
      <c r="B19" s="1378"/>
      <c r="C19" s="1459"/>
      <c r="D19" s="1459"/>
      <c r="E19" s="1459"/>
      <c r="F19" s="1459"/>
      <c r="G19" s="1462"/>
      <c r="H19" s="1465"/>
      <c r="I19" s="1465"/>
      <c r="J19" s="1465"/>
      <c r="K19" s="1465"/>
      <c r="L19" s="1465"/>
      <c r="M19" s="1465"/>
      <c r="N19" s="1465"/>
      <c r="O19" s="1465"/>
      <c r="P19" s="1466"/>
      <c r="Q19" s="1465"/>
      <c r="R19" s="1467"/>
      <c r="S19" s="1465"/>
      <c r="T19" s="1466"/>
      <c r="U19" s="1379">
        <f t="shared" si="0"/>
        <v>0</v>
      </c>
      <c r="V19" s="1380"/>
      <c r="W19" s="1458">
        <v>0</v>
      </c>
      <c r="X19" s="1380"/>
      <c r="Y19" s="1447">
        <f t="shared" si="1"/>
        <v>0</v>
      </c>
      <c r="AA19" s="1377"/>
      <c r="AC19" s="1377"/>
    </row>
    <row r="20" spans="1:29">
      <c r="A20" s="1378" t="s">
        <v>380</v>
      </c>
      <c r="B20" s="1378"/>
      <c r="C20" s="1459"/>
      <c r="D20" s="1459"/>
      <c r="E20" s="1459"/>
      <c r="F20" s="1459"/>
      <c r="G20" s="1462"/>
      <c r="H20" s="1465"/>
      <c r="I20" s="1465"/>
      <c r="J20" s="1465"/>
      <c r="K20" s="1465"/>
      <c r="L20" s="1465"/>
      <c r="M20" s="1465"/>
      <c r="N20" s="1465"/>
      <c r="O20" s="1465"/>
      <c r="P20" s="1466"/>
      <c r="Q20" s="1465"/>
      <c r="R20" s="1467"/>
      <c r="S20" s="1465"/>
      <c r="T20" s="1466"/>
      <c r="U20" s="1379">
        <f t="shared" si="0"/>
        <v>0</v>
      </c>
      <c r="V20" s="1380"/>
      <c r="W20" s="1458">
        <v>0</v>
      </c>
      <c r="X20" s="1380"/>
      <c r="Y20" s="1447">
        <f t="shared" si="1"/>
        <v>0</v>
      </c>
      <c r="AA20" s="1377"/>
      <c r="AC20" s="1377"/>
    </row>
    <row r="21" spans="1:29">
      <c r="A21" s="1378" t="s">
        <v>380</v>
      </c>
      <c r="B21" s="1378"/>
      <c r="C21" s="1459"/>
      <c r="D21" s="1459"/>
      <c r="E21" s="1459"/>
      <c r="F21" s="1459"/>
      <c r="G21" s="1462"/>
      <c r="H21" s="1465"/>
      <c r="I21" s="1465"/>
      <c r="J21" s="1465"/>
      <c r="K21" s="1465"/>
      <c r="L21" s="1465"/>
      <c r="M21" s="1465"/>
      <c r="N21" s="1465"/>
      <c r="O21" s="1465"/>
      <c r="P21" s="1466"/>
      <c r="Q21" s="1465"/>
      <c r="R21" s="1467"/>
      <c r="S21" s="1465"/>
      <c r="T21" s="1466"/>
      <c r="U21" s="1379">
        <f t="shared" si="0"/>
        <v>0</v>
      </c>
      <c r="V21" s="1380"/>
      <c r="W21" s="1458">
        <v>0</v>
      </c>
      <c r="X21" s="1380"/>
      <c r="Y21" s="1447">
        <f t="shared" si="1"/>
        <v>0</v>
      </c>
      <c r="AA21" s="1377"/>
      <c r="AC21" s="1377"/>
    </row>
    <row r="22" spans="1:29">
      <c r="A22" s="1378" t="s">
        <v>380</v>
      </c>
      <c r="B22" s="1378"/>
      <c r="C22" s="1459"/>
      <c r="D22" s="1459"/>
      <c r="E22" s="1459"/>
      <c r="F22" s="1459"/>
      <c r="G22" s="1462"/>
      <c r="H22" s="1465"/>
      <c r="I22" s="1465"/>
      <c r="J22" s="1465"/>
      <c r="K22" s="1465"/>
      <c r="L22" s="1465"/>
      <c r="M22" s="1465"/>
      <c r="N22" s="1465"/>
      <c r="O22" s="1465"/>
      <c r="P22" s="1466"/>
      <c r="Q22" s="1465"/>
      <c r="R22" s="1467"/>
      <c r="S22" s="1465"/>
      <c r="T22" s="1466"/>
      <c r="U22" s="1379">
        <f t="shared" si="0"/>
        <v>0</v>
      </c>
      <c r="V22" s="1380"/>
      <c r="W22" s="1458">
        <v>0</v>
      </c>
      <c r="X22" s="1380"/>
      <c r="Y22" s="1447">
        <f t="shared" si="1"/>
        <v>0</v>
      </c>
      <c r="AA22" s="1377"/>
      <c r="AC22" s="1377"/>
    </row>
    <row r="23" spans="1:29">
      <c r="A23" s="1378" t="s">
        <v>380</v>
      </c>
      <c r="B23" s="1378"/>
      <c r="C23" s="1459"/>
      <c r="D23" s="1459"/>
      <c r="E23" s="1459"/>
      <c r="F23" s="1459"/>
      <c r="G23" s="1462"/>
      <c r="H23" s="1465"/>
      <c r="I23" s="1465"/>
      <c r="J23" s="1465"/>
      <c r="K23" s="1465"/>
      <c r="L23" s="1465"/>
      <c r="M23" s="1465"/>
      <c r="N23" s="1465"/>
      <c r="O23" s="1465"/>
      <c r="P23" s="1466"/>
      <c r="Q23" s="1465"/>
      <c r="R23" s="1467"/>
      <c r="S23" s="1465"/>
      <c r="T23" s="1466"/>
      <c r="U23" s="1379">
        <f t="shared" si="0"/>
        <v>0</v>
      </c>
      <c r="V23" s="1380"/>
      <c r="W23" s="1458">
        <v>0</v>
      </c>
      <c r="X23" s="1380"/>
      <c r="Y23" s="1447">
        <f t="shared" si="1"/>
        <v>0</v>
      </c>
      <c r="AA23" s="1377"/>
      <c r="AC23" s="1377"/>
    </row>
    <row r="24" spans="1:29">
      <c r="A24" s="1378" t="s">
        <v>380</v>
      </c>
      <c r="B24" s="1378"/>
      <c r="C24" s="1459"/>
      <c r="D24" s="1459"/>
      <c r="E24" s="1459"/>
      <c r="F24" s="1459"/>
      <c r="G24" s="1462"/>
      <c r="H24" s="1465"/>
      <c r="I24" s="1465"/>
      <c r="J24" s="1465"/>
      <c r="K24" s="1465"/>
      <c r="L24" s="1465"/>
      <c r="M24" s="1465"/>
      <c r="N24" s="1465"/>
      <c r="O24" s="1465"/>
      <c r="P24" s="1466"/>
      <c r="Q24" s="1465"/>
      <c r="R24" s="1467"/>
      <c r="S24" s="1465"/>
      <c r="T24" s="1466"/>
      <c r="U24" s="1379">
        <f t="shared" si="0"/>
        <v>0</v>
      </c>
      <c r="V24" s="1378"/>
      <c r="W24" s="1458">
        <v>0</v>
      </c>
      <c r="X24" s="1378"/>
      <c r="Y24" s="1447">
        <f t="shared" si="1"/>
        <v>0</v>
      </c>
      <c r="AA24" s="1377"/>
      <c r="AC24" s="1377"/>
    </row>
    <row r="25" spans="1:29">
      <c r="A25" s="1378" t="s">
        <v>380</v>
      </c>
      <c r="B25" s="1378"/>
      <c r="C25" s="1459"/>
      <c r="D25" s="1459"/>
      <c r="E25" s="1459"/>
      <c r="F25" s="1459"/>
      <c r="G25" s="1462"/>
      <c r="H25" s="1465"/>
      <c r="I25" s="1465"/>
      <c r="J25" s="1465"/>
      <c r="K25" s="1465"/>
      <c r="L25" s="1465"/>
      <c r="M25" s="1465"/>
      <c r="N25" s="1465"/>
      <c r="O25" s="1465"/>
      <c r="P25" s="1466"/>
      <c r="Q25" s="1465"/>
      <c r="R25" s="1467"/>
      <c r="S25" s="1465"/>
      <c r="T25" s="1466"/>
      <c r="U25" s="1379">
        <f t="shared" si="0"/>
        <v>0</v>
      </c>
      <c r="V25" s="1378"/>
      <c r="W25" s="1458">
        <v>0</v>
      </c>
      <c r="X25" s="1378"/>
      <c r="Y25" s="1447">
        <f t="shared" si="1"/>
        <v>0</v>
      </c>
      <c r="AA25" s="1377"/>
      <c r="AC25" s="1377"/>
    </row>
    <row r="26" spans="1:29">
      <c r="A26" s="1378" t="s">
        <v>380</v>
      </c>
      <c r="B26" s="1378"/>
      <c r="C26" s="1459"/>
      <c r="D26" s="1459"/>
      <c r="E26" s="1459"/>
      <c r="F26" s="1459"/>
      <c r="G26" s="1462"/>
      <c r="H26" s="1465"/>
      <c r="I26" s="1465"/>
      <c r="J26" s="1465"/>
      <c r="K26" s="1465"/>
      <c r="L26" s="1465"/>
      <c r="M26" s="1465"/>
      <c r="N26" s="1465"/>
      <c r="O26" s="1465"/>
      <c r="P26" s="1466"/>
      <c r="Q26" s="1465"/>
      <c r="R26" s="1467"/>
      <c r="S26" s="1465"/>
      <c r="T26" s="1466"/>
      <c r="U26" s="1379">
        <f t="shared" si="0"/>
        <v>0</v>
      </c>
      <c r="V26" s="1378"/>
      <c r="W26" s="1458">
        <v>0</v>
      </c>
      <c r="X26" s="1378"/>
      <c r="Y26" s="1447">
        <f t="shared" si="1"/>
        <v>0</v>
      </c>
      <c r="AA26" s="1377"/>
      <c r="AC26" s="1377"/>
    </row>
    <row r="27" spans="1:29">
      <c r="A27" s="1378" t="s">
        <v>380</v>
      </c>
      <c r="B27" s="1378"/>
      <c r="C27" s="1459"/>
      <c r="D27" s="1459"/>
      <c r="E27" s="1459"/>
      <c r="F27" s="1459"/>
      <c r="G27" s="1462"/>
      <c r="H27" s="1465"/>
      <c r="I27" s="1465"/>
      <c r="J27" s="1465"/>
      <c r="K27" s="1465"/>
      <c r="L27" s="1465"/>
      <c r="M27" s="1465"/>
      <c r="N27" s="1465"/>
      <c r="O27" s="1465"/>
      <c r="P27" s="1466"/>
      <c r="Q27" s="1465"/>
      <c r="R27" s="1467"/>
      <c r="S27" s="1465"/>
      <c r="T27" s="1466"/>
      <c r="U27" s="1379">
        <f t="shared" si="0"/>
        <v>0</v>
      </c>
      <c r="V27" s="1378"/>
      <c r="W27" s="1458">
        <v>0</v>
      </c>
      <c r="X27" s="1378"/>
      <c r="Y27" s="1447">
        <f t="shared" si="1"/>
        <v>0</v>
      </c>
      <c r="AA27" s="1377"/>
      <c r="AC27" s="1377"/>
    </row>
    <row r="28" spans="1:29">
      <c r="A28" s="1378" t="s">
        <v>380</v>
      </c>
      <c r="B28" s="1378"/>
      <c r="C28" s="1459"/>
      <c r="D28" s="1459"/>
      <c r="E28" s="1459"/>
      <c r="F28" s="1459"/>
      <c r="G28" s="1462"/>
      <c r="H28" s="1465"/>
      <c r="I28" s="1465"/>
      <c r="J28" s="1465"/>
      <c r="K28" s="1465"/>
      <c r="L28" s="1465"/>
      <c r="M28" s="1465"/>
      <c r="N28" s="1465"/>
      <c r="O28" s="1465"/>
      <c r="P28" s="1466"/>
      <c r="Q28" s="1465"/>
      <c r="R28" s="1467"/>
      <c r="S28" s="1465"/>
      <c r="T28" s="1466"/>
      <c r="U28" s="1379">
        <f t="shared" si="0"/>
        <v>0</v>
      </c>
      <c r="V28" s="1378"/>
      <c r="W28" s="1458">
        <v>0</v>
      </c>
      <c r="X28" s="1378"/>
      <c r="Y28" s="1447">
        <f t="shared" si="1"/>
        <v>0</v>
      </c>
      <c r="AA28" s="1377"/>
      <c r="AC28" s="1377"/>
    </row>
    <row r="29" spans="1:29">
      <c r="A29" s="1378" t="s">
        <v>380</v>
      </c>
      <c r="B29" s="1378"/>
      <c r="C29" s="1459"/>
      <c r="D29" s="1459"/>
      <c r="E29" s="1459"/>
      <c r="F29" s="1459"/>
      <c r="G29" s="1462"/>
      <c r="H29" s="1465"/>
      <c r="I29" s="1465"/>
      <c r="J29" s="1465"/>
      <c r="K29" s="1465"/>
      <c r="L29" s="1465"/>
      <c r="M29" s="1465"/>
      <c r="N29" s="1465"/>
      <c r="O29" s="1465"/>
      <c r="P29" s="1466"/>
      <c r="Q29" s="1465"/>
      <c r="R29" s="1467"/>
      <c r="S29" s="1465"/>
      <c r="T29" s="1466"/>
      <c r="U29" s="1379">
        <f t="shared" si="0"/>
        <v>0</v>
      </c>
      <c r="V29" s="1378"/>
      <c r="W29" s="1458">
        <v>0</v>
      </c>
      <c r="X29" s="1378"/>
      <c r="Y29" s="1447">
        <f t="shared" si="1"/>
        <v>0</v>
      </c>
      <c r="AA29" s="1377"/>
      <c r="AC29" s="1377"/>
    </row>
    <row r="30" spans="1:29">
      <c r="A30" s="1378" t="s">
        <v>380</v>
      </c>
      <c r="B30" s="1378"/>
      <c r="C30" s="1459"/>
      <c r="D30" s="1459"/>
      <c r="E30" s="1459"/>
      <c r="F30" s="1459"/>
      <c r="G30" s="1462"/>
      <c r="H30" s="1465"/>
      <c r="I30" s="1465"/>
      <c r="J30" s="1465"/>
      <c r="K30" s="1465"/>
      <c r="L30" s="1465"/>
      <c r="M30" s="1465"/>
      <c r="N30" s="1465"/>
      <c r="O30" s="1465"/>
      <c r="P30" s="1466"/>
      <c r="Q30" s="1465"/>
      <c r="R30" s="1467"/>
      <c r="S30" s="1465"/>
      <c r="T30" s="1466"/>
      <c r="U30" s="1379">
        <f t="shared" si="0"/>
        <v>0</v>
      </c>
      <c r="V30" s="1378"/>
      <c r="W30" s="1458">
        <v>0</v>
      </c>
      <c r="X30" s="1378"/>
      <c r="Y30" s="1447">
        <f t="shared" si="1"/>
        <v>0</v>
      </c>
      <c r="AA30" s="1377"/>
      <c r="AC30" s="1377"/>
    </row>
    <row r="31" spans="1:29">
      <c r="A31" s="1378" t="s">
        <v>315</v>
      </c>
      <c r="B31" s="1378"/>
      <c r="C31" s="1459"/>
      <c r="D31" s="1459"/>
      <c r="E31" s="1459"/>
      <c r="F31" s="1459"/>
      <c r="G31" s="1462"/>
      <c r="H31" s="1465"/>
      <c r="I31" s="1465"/>
      <c r="J31" s="1465"/>
      <c r="K31" s="1465"/>
      <c r="L31" s="1465"/>
      <c r="M31" s="1465"/>
      <c r="N31" s="1465"/>
      <c r="O31" s="1465"/>
      <c r="P31" s="1466"/>
      <c r="Q31" s="1465"/>
      <c r="R31" s="1467"/>
      <c r="S31" s="1465"/>
      <c r="T31" s="1466"/>
      <c r="U31" s="1379">
        <f t="shared" si="0"/>
        <v>0</v>
      </c>
      <c r="V31" s="1378"/>
      <c r="W31" s="1458">
        <v>0</v>
      </c>
      <c r="X31" s="1378"/>
      <c r="Y31" s="1448">
        <f t="shared" si="1"/>
        <v>0</v>
      </c>
      <c r="AA31" s="1377"/>
      <c r="AC31" s="1377"/>
    </row>
    <row r="32" spans="1:29" s="1403" customFormat="1">
      <c r="A32" s="1406">
        <v>2</v>
      </c>
      <c r="B32" s="1406"/>
      <c r="Q32" s="1406"/>
      <c r="R32" s="1406"/>
      <c r="S32" s="1387"/>
      <c r="T32" s="1387"/>
      <c r="U32" s="1769" t="s">
        <v>1009</v>
      </c>
      <c r="V32" s="1769"/>
      <c r="W32" s="1769"/>
      <c r="X32" s="1449"/>
      <c r="Y32" s="1450">
        <f>SUM(Y7:Y31)</f>
        <v>0</v>
      </c>
    </row>
    <row r="33" spans="1:29">
      <c r="V33" s="1770"/>
      <c r="W33" s="1770"/>
      <c r="X33" s="1770"/>
    </row>
    <row r="34" spans="1:29">
      <c r="H34" s="1403" t="s">
        <v>1010</v>
      </c>
      <c r="I34" s="1403"/>
      <c r="J34" s="1403"/>
      <c r="K34" s="1403"/>
      <c r="L34" s="1403"/>
      <c r="M34" s="1403"/>
      <c r="N34" s="1403"/>
      <c r="V34" s="1377" t="s">
        <v>878</v>
      </c>
      <c r="W34" s="1377"/>
      <c r="X34" s="1377"/>
      <c r="Y34" s="1377"/>
      <c r="AA34" s="1377"/>
      <c r="AC34" s="1377"/>
    </row>
    <row r="35" spans="1:29" ht="11.25" customHeight="1">
      <c r="A35" s="1407"/>
      <c r="B35" s="1411"/>
      <c r="C35" s="1762"/>
      <c r="D35" s="1762"/>
      <c r="E35" s="1762"/>
      <c r="F35" s="1762"/>
      <c r="G35" s="1762"/>
      <c r="O35" s="1451"/>
      <c r="P35" s="1451"/>
      <c r="Q35" s="1451"/>
      <c r="R35" s="1451"/>
      <c r="S35" s="1451"/>
      <c r="T35" s="1451"/>
      <c r="U35" s="1452" t="s">
        <v>10</v>
      </c>
      <c r="V35" s="1377" t="s">
        <v>1011</v>
      </c>
      <c r="W35" s="1377"/>
      <c r="X35" s="1377"/>
      <c r="Y35" s="1377"/>
      <c r="AA35" s="1377"/>
      <c r="AC35" s="1377"/>
    </row>
    <row r="36" spans="1:29" ht="11.25" customHeight="1">
      <c r="A36" s="1407"/>
      <c r="B36" s="1407"/>
      <c r="C36" s="1762"/>
      <c r="D36" s="1762"/>
      <c r="E36" s="1762"/>
      <c r="F36" s="1762"/>
      <c r="G36" s="1762"/>
      <c r="H36" s="1408"/>
      <c r="I36" s="1408"/>
      <c r="J36" s="1451"/>
      <c r="K36" s="1451"/>
      <c r="L36" s="1451"/>
      <c r="M36" s="1451"/>
      <c r="N36" s="1451"/>
      <c r="O36" s="1412"/>
      <c r="P36" s="1412"/>
      <c r="Q36" s="1412"/>
      <c r="R36" s="1412"/>
      <c r="S36" s="1412"/>
      <c r="T36" s="1412"/>
      <c r="V36" s="1377"/>
      <c r="W36" s="1377"/>
      <c r="X36" s="1377"/>
      <c r="Y36" s="1377"/>
      <c r="AA36" s="1377"/>
      <c r="AC36" s="1377"/>
    </row>
    <row r="37" spans="1:29" ht="11.25" customHeight="1">
      <c r="A37" s="1407"/>
      <c r="B37" s="1407"/>
      <c r="C37" s="1762"/>
      <c r="D37" s="1762"/>
      <c r="E37" s="1762"/>
      <c r="F37" s="1762"/>
      <c r="G37" s="1762"/>
      <c r="H37" s="1408"/>
      <c r="I37" s="1408"/>
      <c r="J37" s="1412"/>
      <c r="K37" s="1412"/>
      <c r="L37" s="1412"/>
      <c r="M37" s="1412"/>
      <c r="N37" s="1412"/>
      <c r="O37" s="1410"/>
      <c r="P37" s="1410"/>
      <c r="Q37" s="1410"/>
      <c r="R37" s="1410"/>
      <c r="S37" s="1410"/>
      <c r="T37" s="1410"/>
      <c r="V37" s="1377"/>
      <c r="W37" s="1377"/>
      <c r="X37" s="1377"/>
      <c r="Y37" s="1377"/>
      <c r="AA37" s="1377"/>
      <c r="AC37" s="1377"/>
    </row>
    <row r="38" spans="1:29">
      <c r="A38" s="1407"/>
      <c r="B38" s="1407"/>
      <c r="H38" s="1410"/>
      <c r="I38" s="1410"/>
      <c r="J38" s="1410"/>
      <c r="K38" s="1410"/>
      <c r="L38" s="1410"/>
      <c r="M38" s="1410"/>
      <c r="N38" s="1410"/>
      <c r="V38" s="1377"/>
      <c r="W38" s="1377"/>
      <c r="X38" s="1377"/>
      <c r="Y38" s="1377"/>
      <c r="AA38" s="1377"/>
      <c r="AC38" s="1377"/>
    </row>
    <row r="39" spans="1:29">
      <c r="A39" s="1407"/>
      <c r="B39" s="1407"/>
      <c r="V39" s="1406"/>
      <c r="W39" s="1377"/>
      <c r="X39" s="1377"/>
    </row>
    <row r="40" spans="1:29">
      <c r="A40" s="1407"/>
      <c r="B40" s="1407"/>
      <c r="V40" s="1377"/>
    </row>
    <row r="41" spans="1:29">
      <c r="A41" s="1407"/>
      <c r="B41" s="1407"/>
      <c r="S41" s="1403"/>
      <c r="T41" s="1403"/>
      <c r="U41" s="1404"/>
      <c r="V41" s="1377"/>
    </row>
    <row r="42" spans="1:29">
      <c r="A42" s="1407"/>
      <c r="B42" s="1407"/>
      <c r="S42" s="1403"/>
      <c r="T42" s="1403"/>
      <c r="U42" s="1404"/>
      <c r="V42" s="1377"/>
    </row>
    <row r="43" spans="1:29">
      <c r="A43" s="1407"/>
      <c r="B43" s="1407"/>
      <c r="S43" s="1403"/>
      <c r="T43" s="1403"/>
      <c r="U43" s="1404"/>
      <c r="V43" s="1377"/>
    </row>
    <row r="44" spans="1:29">
      <c r="A44" s="1407"/>
      <c r="B44" s="1407"/>
      <c r="S44" s="1403"/>
      <c r="T44" s="1403"/>
      <c r="U44" s="1404"/>
    </row>
    <row r="45" spans="1:29">
      <c r="A45" s="1407"/>
      <c r="B45" s="1407"/>
      <c r="S45" s="1403"/>
      <c r="T45" s="1403"/>
      <c r="U45" s="1404"/>
    </row>
    <row r="46" spans="1:29">
      <c r="A46" s="1407"/>
      <c r="B46" s="1407"/>
    </row>
  </sheetData>
  <mergeCells count="14">
    <mergeCell ref="V33:X33"/>
    <mergeCell ref="C35:G37"/>
    <mergeCell ref="U5:U6"/>
    <mergeCell ref="V5:V6"/>
    <mergeCell ref="W5:W6"/>
    <mergeCell ref="X5:X6"/>
    <mergeCell ref="Y5:Y6"/>
    <mergeCell ref="U32:W32"/>
    <mergeCell ref="A5:A6"/>
    <mergeCell ref="C5:C6"/>
    <mergeCell ref="D5:D6"/>
    <mergeCell ref="E5:E6"/>
    <mergeCell ref="F5:F6"/>
    <mergeCell ref="G5:G6"/>
  </mergeCells>
  <pageMargins left="0.7" right="0.7" top="0.75" bottom="0.75" header="0.3" footer="0.3"/>
  <pageSetup orientation="landscape" r:id="rId1"/>
  <headerFooter>
    <oddHeader xml:space="preserve">&amp;C&amp;"Arial,Bold"Attachment 13 - Construction Work in Progress
MidAmerican Central California Transco, LLC
</oddHeader>
    <oddFooter>&amp;RPage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R29"/>
  <sheetViews>
    <sheetView view="pageBreakPreview" zoomScale="75" zoomScaleNormal="100" zoomScaleSheetLayoutView="75" workbookViewId="0">
      <selection activeCell="M6" sqref="M6"/>
    </sheetView>
  </sheetViews>
  <sheetFormatPr defaultColWidth="7" defaultRowHeight="11.25"/>
  <cols>
    <col min="1" max="1" width="3.77734375" style="1397" customWidth="1"/>
    <col min="2" max="2" width="9.44140625" style="1424" customWidth="1"/>
    <col min="3" max="3" width="25" style="1424" customWidth="1"/>
    <col min="4" max="4" width="34" style="1424" customWidth="1"/>
    <col min="5" max="5" width="8.44140625" style="1403" customWidth="1"/>
    <col min="6" max="6" width="7.5546875" style="1424" customWidth="1"/>
    <col min="7" max="7" width="7.6640625" style="1403" customWidth="1"/>
    <col min="8" max="18" width="7.5546875" style="1403" customWidth="1"/>
    <col min="19" max="16384" width="7" style="1377"/>
  </cols>
  <sheetData>
    <row r="1" spans="1:18" s="1254" customFormat="1" ht="15">
      <c r="A1" s="1254" t="s">
        <v>1071</v>
      </c>
      <c r="F1" s="1254" t="s">
        <v>1071</v>
      </c>
    </row>
    <row r="2" spans="1:18" s="1254" customFormat="1" ht="15.75">
      <c r="A2" s="1254" t="s">
        <v>1067</v>
      </c>
      <c r="F2" s="1254" t="s">
        <v>1067</v>
      </c>
    </row>
    <row r="4" spans="1:18" s="1360" customFormat="1">
      <c r="B4" s="1413" t="s">
        <v>459</v>
      </c>
      <c r="C4" s="1361" t="s">
        <v>591</v>
      </c>
      <c r="D4" s="1362" t="s">
        <v>839</v>
      </c>
      <c r="E4" s="1362" t="s">
        <v>589</v>
      </c>
      <c r="F4" s="1362" t="s">
        <v>840</v>
      </c>
      <c r="G4" s="1362" t="s">
        <v>587</v>
      </c>
      <c r="H4" s="1362" t="s">
        <v>586</v>
      </c>
      <c r="I4" s="1362" t="s">
        <v>585</v>
      </c>
      <c r="J4" s="1362" t="s">
        <v>848</v>
      </c>
      <c r="K4" s="1362" t="s">
        <v>849</v>
      </c>
      <c r="L4" s="1362" t="s">
        <v>850</v>
      </c>
      <c r="M4" s="1362" t="s">
        <v>851</v>
      </c>
      <c r="N4" s="1362" t="s">
        <v>852</v>
      </c>
      <c r="O4" s="1362" t="s">
        <v>853</v>
      </c>
      <c r="P4" s="1362" t="s">
        <v>854</v>
      </c>
      <c r="Q4" s="1361" t="s">
        <v>855</v>
      </c>
      <c r="R4" s="1360" t="s">
        <v>856</v>
      </c>
    </row>
    <row r="5" spans="1:18" s="1367" customFormat="1" ht="33.75" customHeight="1">
      <c r="A5" s="1760" t="s">
        <v>16</v>
      </c>
      <c r="B5" s="1760" t="s">
        <v>1012</v>
      </c>
      <c r="C5" s="1763" t="s">
        <v>1013</v>
      </c>
      <c r="D5" s="1763" t="s">
        <v>1016</v>
      </c>
      <c r="E5" s="1760" t="s">
        <v>1014</v>
      </c>
      <c r="F5" s="1414" t="s">
        <v>864</v>
      </c>
      <c r="G5" s="1366" t="s">
        <v>865</v>
      </c>
      <c r="H5" s="1366" t="s">
        <v>866</v>
      </c>
      <c r="I5" s="1366" t="s">
        <v>867</v>
      </c>
      <c r="J5" s="1366" t="s">
        <v>868</v>
      </c>
      <c r="K5" s="1366" t="s">
        <v>869</v>
      </c>
      <c r="L5" s="1366" t="s">
        <v>868</v>
      </c>
      <c r="M5" s="1366" t="s">
        <v>870</v>
      </c>
      <c r="N5" s="1366" t="s">
        <v>871</v>
      </c>
      <c r="O5" s="1366" t="s">
        <v>872</v>
      </c>
      <c r="P5" s="1366" t="s">
        <v>873</v>
      </c>
      <c r="Q5" s="1366" t="s">
        <v>874</v>
      </c>
      <c r="R5" s="1366" t="s">
        <v>864</v>
      </c>
    </row>
    <row r="6" spans="1:18" s="1367" customFormat="1">
      <c r="A6" s="1760"/>
      <c r="B6" s="1760"/>
      <c r="C6" s="1764"/>
      <c r="D6" s="1764"/>
      <c r="E6" s="1760"/>
      <c r="F6" s="1470" t="s">
        <v>1078</v>
      </c>
      <c r="G6" s="1471" t="s">
        <v>1081</v>
      </c>
      <c r="H6" s="1471" t="s">
        <v>1081</v>
      </c>
      <c r="I6" s="1471" t="s">
        <v>1081</v>
      </c>
      <c r="J6" s="1471" t="s">
        <v>1081</v>
      </c>
      <c r="K6" s="1471" t="s">
        <v>1081</v>
      </c>
      <c r="L6" s="1471" t="s">
        <v>1081</v>
      </c>
      <c r="M6" s="1471" t="s">
        <v>1081</v>
      </c>
      <c r="N6" s="1471" t="s">
        <v>1081</v>
      </c>
      <c r="O6" s="1471" t="s">
        <v>1081</v>
      </c>
      <c r="P6" s="1471" t="s">
        <v>1081</v>
      </c>
      <c r="Q6" s="1471" t="s">
        <v>1081</v>
      </c>
      <c r="R6" s="1471" t="s">
        <v>1081</v>
      </c>
    </row>
    <row r="7" spans="1:18" ht="28.7" customHeight="1">
      <c r="A7" s="1397" t="s">
        <v>312</v>
      </c>
      <c r="B7" s="1473"/>
      <c r="C7" s="1463"/>
      <c r="D7" s="1463"/>
      <c r="E7" s="1418">
        <f t="shared" ref="E7:E16" si="0">IFERROR(SUM(F7:R7)/13,0)</f>
        <v>0</v>
      </c>
      <c r="F7" s="1463"/>
      <c r="G7" s="1463"/>
      <c r="H7" s="1463"/>
      <c r="I7" s="1463"/>
      <c r="J7" s="1463"/>
      <c r="K7" s="1463"/>
      <c r="L7" s="1463"/>
      <c r="M7" s="1463"/>
      <c r="N7" s="1463"/>
      <c r="O7" s="1463"/>
      <c r="P7" s="1463"/>
      <c r="Q7" s="1463"/>
      <c r="R7" s="1463"/>
    </row>
    <row r="8" spans="1:18" ht="28.7" customHeight="1">
      <c r="A8" s="1397" t="s">
        <v>879</v>
      </c>
      <c r="B8" s="1474"/>
      <c r="C8" s="1465"/>
      <c r="D8" s="1465"/>
      <c r="E8" s="1379">
        <f t="shared" si="0"/>
        <v>0</v>
      </c>
      <c r="F8" s="1465"/>
      <c r="G8" s="1465"/>
      <c r="H8" s="1465"/>
      <c r="I8" s="1465"/>
      <c r="J8" s="1465"/>
      <c r="K8" s="1465"/>
      <c r="L8" s="1465"/>
      <c r="M8" s="1465"/>
      <c r="N8" s="1465"/>
      <c r="O8" s="1465"/>
      <c r="P8" s="1465"/>
      <c r="Q8" s="1465"/>
      <c r="R8" s="1465"/>
    </row>
    <row r="9" spans="1:18" ht="28.7" customHeight="1">
      <c r="A9" s="1397" t="s">
        <v>880</v>
      </c>
      <c r="B9" s="1474"/>
      <c r="C9" s="1465"/>
      <c r="D9" s="1465"/>
      <c r="E9" s="1379">
        <f t="shared" si="0"/>
        <v>0</v>
      </c>
      <c r="F9" s="1465"/>
      <c r="G9" s="1465"/>
      <c r="H9" s="1465"/>
      <c r="I9" s="1465"/>
      <c r="J9" s="1465"/>
      <c r="K9" s="1465"/>
      <c r="L9" s="1465"/>
      <c r="M9" s="1465"/>
      <c r="N9" s="1465"/>
      <c r="O9" s="1465"/>
      <c r="P9" s="1465"/>
      <c r="Q9" s="1465"/>
      <c r="R9" s="1465"/>
    </row>
    <row r="10" spans="1:18" ht="28.7" customHeight="1">
      <c r="A10" s="1397" t="s">
        <v>380</v>
      </c>
      <c r="B10" s="1474"/>
      <c r="C10" s="1465"/>
      <c r="D10" s="1465"/>
      <c r="E10" s="1379">
        <f t="shared" si="0"/>
        <v>0</v>
      </c>
      <c r="F10" s="1465"/>
      <c r="G10" s="1465"/>
      <c r="H10" s="1465"/>
      <c r="I10" s="1465"/>
      <c r="J10" s="1465"/>
      <c r="K10" s="1465"/>
      <c r="L10" s="1465"/>
      <c r="M10" s="1465"/>
      <c r="N10" s="1465"/>
      <c r="O10" s="1465"/>
      <c r="P10" s="1465"/>
      <c r="Q10" s="1465"/>
      <c r="R10" s="1465"/>
    </row>
    <row r="11" spans="1:18" ht="28.7" customHeight="1">
      <c r="A11" s="1397" t="s">
        <v>380</v>
      </c>
      <c r="B11" s="1474"/>
      <c r="C11" s="1465"/>
      <c r="D11" s="1465"/>
      <c r="E11" s="1379">
        <f t="shared" si="0"/>
        <v>0</v>
      </c>
      <c r="F11" s="1465"/>
      <c r="G11" s="1465"/>
      <c r="H11" s="1465"/>
      <c r="I11" s="1465"/>
      <c r="J11" s="1465"/>
      <c r="K11" s="1465"/>
      <c r="L11" s="1465"/>
      <c r="M11" s="1465"/>
      <c r="N11" s="1465"/>
      <c r="O11" s="1465"/>
      <c r="P11" s="1465"/>
      <c r="Q11" s="1465"/>
      <c r="R11" s="1465"/>
    </row>
    <row r="12" spans="1:18" ht="28.7" customHeight="1">
      <c r="A12" s="1397" t="s">
        <v>380</v>
      </c>
      <c r="B12" s="1474"/>
      <c r="C12" s="1465"/>
      <c r="D12" s="1465"/>
      <c r="E12" s="1379">
        <f t="shared" si="0"/>
        <v>0</v>
      </c>
      <c r="F12" s="1465"/>
      <c r="G12" s="1465"/>
      <c r="H12" s="1465"/>
      <c r="I12" s="1465"/>
      <c r="J12" s="1465"/>
      <c r="K12" s="1465"/>
      <c r="L12" s="1465"/>
      <c r="M12" s="1465"/>
      <c r="N12" s="1465"/>
      <c r="O12" s="1465"/>
      <c r="P12" s="1465"/>
      <c r="Q12" s="1465"/>
      <c r="R12" s="1465"/>
    </row>
    <row r="13" spans="1:18" ht="28.7" customHeight="1">
      <c r="A13" s="1397" t="s">
        <v>380</v>
      </c>
      <c r="B13" s="1474"/>
      <c r="C13" s="1465"/>
      <c r="D13" s="1465"/>
      <c r="E13" s="1379">
        <f t="shared" si="0"/>
        <v>0</v>
      </c>
      <c r="F13" s="1465"/>
      <c r="G13" s="1465"/>
      <c r="H13" s="1465"/>
      <c r="I13" s="1465"/>
      <c r="J13" s="1465"/>
      <c r="K13" s="1465"/>
      <c r="L13" s="1465"/>
      <c r="M13" s="1465"/>
      <c r="N13" s="1465"/>
      <c r="O13" s="1465"/>
      <c r="P13" s="1465"/>
      <c r="Q13" s="1465"/>
      <c r="R13" s="1465"/>
    </row>
    <row r="14" spans="1:18" ht="28.7" customHeight="1">
      <c r="A14" s="1397" t="s">
        <v>380</v>
      </c>
      <c r="B14" s="1474"/>
      <c r="C14" s="1465"/>
      <c r="D14" s="1465"/>
      <c r="E14" s="1379">
        <f t="shared" si="0"/>
        <v>0</v>
      </c>
      <c r="F14" s="1465"/>
      <c r="G14" s="1465"/>
      <c r="H14" s="1465"/>
      <c r="I14" s="1465"/>
      <c r="J14" s="1465"/>
      <c r="K14" s="1465"/>
      <c r="L14" s="1465"/>
      <c r="M14" s="1465"/>
      <c r="N14" s="1465"/>
      <c r="O14" s="1465"/>
      <c r="P14" s="1465"/>
      <c r="Q14" s="1465"/>
      <c r="R14" s="1465"/>
    </row>
    <row r="15" spans="1:18" ht="28.7" customHeight="1">
      <c r="A15" s="1397" t="s">
        <v>380</v>
      </c>
      <c r="B15" s="1474"/>
      <c r="C15" s="1465"/>
      <c r="D15" s="1465"/>
      <c r="E15" s="1379">
        <f t="shared" si="0"/>
        <v>0</v>
      </c>
      <c r="F15" s="1465"/>
      <c r="G15" s="1465"/>
      <c r="H15" s="1465"/>
      <c r="I15" s="1465"/>
      <c r="J15" s="1465"/>
      <c r="K15" s="1465"/>
      <c r="L15" s="1465"/>
      <c r="M15" s="1465"/>
      <c r="N15" s="1465"/>
      <c r="O15" s="1465"/>
      <c r="P15" s="1465"/>
      <c r="Q15" s="1465"/>
      <c r="R15" s="1465"/>
    </row>
    <row r="16" spans="1:18" ht="28.7" customHeight="1">
      <c r="A16" s="1397" t="s">
        <v>315</v>
      </c>
      <c r="B16" s="1474"/>
      <c r="C16" s="1465"/>
      <c r="D16" s="1465"/>
      <c r="E16" s="1388">
        <f t="shared" si="0"/>
        <v>0</v>
      </c>
      <c r="F16" s="1465"/>
      <c r="G16" s="1465"/>
      <c r="H16" s="1465"/>
      <c r="I16" s="1465"/>
      <c r="J16" s="1465"/>
      <c r="K16" s="1465"/>
      <c r="L16" s="1465"/>
      <c r="M16" s="1465"/>
      <c r="N16" s="1465"/>
      <c r="O16" s="1472"/>
      <c r="P16" s="1472"/>
      <c r="Q16" s="1472"/>
      <c r="R16" s="1472"/>
    </row>
    <row r="17" spans="1:18">
      <c r="A17" s="1397">
        <v>2</v>
      </c>
      <c r="C17" s="1454"/>
      <c r="D17" s="1454" t="s">
        <v>1015</v>
      </c>
      <c r="E17" s="1455">
        <f>SUM(E7:E16)</f>
        <v>0</v>
      </c>
      <c r="F17" s="1425"/>
      <c r="G17" s="1425"/>
      <c r="H17" s="1425"/>
      <c r="I17" s="1425"/>
      <c r="J17" s="1425"/>
      <c r="K17" s="1425"/>
      <c r="L17" s="1425"/>
      <c r="M17" s="1425"/>
      <c r="N17" s="1377"/>
      <c r="O17" s="1377"/>
      <c r="P17" s="1377"/>
      <c r="Q17" s="1377"/>
      <c r="R17" s="1377"/>
    </row>
    <row r="18" spans="1:18" ht="11.25" customHeight="1">
      <c r="E18" s="1425"/>
      <c r="F18" s="1771" t="s">
        <v>1010</v>
      </c>
      <c r="G18" s="1771"/>
      <c r="H18" s="1771"/>
      <c r="I18" s="1771"/>
      <c r="J18" s="1771"/>
      <c r="K18" s="1771"/>
      <c r="L18" s="1425"/>
      <c r="M18" s="1425"/>
      <c r="N18" s="1425"/>
      <c r="O18" s="1425"/>
      <c r="P18" s="1425"/>
      <c r="Q18" s="1425"/>
      <c r="R18" s="1425"/>
    </row>
    <row r="19" spans="1:18">
      <c r="B19" s="1411"/>
      <c r="C19" s="1431"/>
      <c r="D19" s="1431"/>
      <c r="F19" s="1431"/>
      <c r="G19" s="1431"/>
    </row>
    <row r="20" spans="1:18">
      <c r="A20" s="1377"/>
      <c r="C20" s="1431"/>
      <c r="D20" s="1431"/>
      <c r="E20" s="1377"/>
      <c r="F20" s="1431"/>
      <c r="G20" s="1431"/>
      <c r="R20" s="1377"/>
    </row>
    <row r="21" spans="1:18" ht="12" customHeight="1">
      <c r="A21" s="1377"/>
      <c r="B21" s="1407"/>
      <c r="C21" s="1431"/>
      <c r="D21" s="1431"/>
      <c r="E21" s="1377"/>
      <c r="F21" s="1431"/>
      <c r="M21" s="1428"/>
      <c r="R21" s="1377"/>
    </row>
    <row r="22" spans="1:18" ht="12" customHeight="1">
      <c r="A22" s="1377"/>
      <c r="B22" s="1407"/>
      <c r="C22" s="1431"/>
      <c r="D22" s="1431"/>
      <c r="E22" s="1377"/>
      <c r="F22" s="1431"/>
      <c r="R22" s="1377"/>
    </row>
    <row r="23" spans="1:18" ht="11.25" customHeight="1">
      <c r="A23" s="1411"/>
      <c r="B23" s="1407"/>
      <c r="C23" s="1431"/>
      <c r="D23" s="1431"/>
      <c r="E23" s="1377"/>
      <c r="F23" s="1431"/>
      <c r="M23" s="1456"/>
      <c r="R23" s="1377"/>
    </row>
    <row r="24" spans="1:18" ht="11.25" customHeight="1">
      <c r="A24" s="1411"/>
      <c r="B24" s="1411"/>
      <c r="C24" s="1765"/>
      <c r="D24" s="1765"/>
      <c r="E24" s="1377"/>
      <c r="M24" s="1429"/>
      <c r="R24" s="1377"/>
    </row>
    <row r="25" spans="1:18" ht="11.25" customHeight="1">
      <c r="A25" s="1407"/>
      <c r="B25" s="1411"/>
      <c r="E25" s="1377"/>
      <c r="M25" s="1429"/>
      <c r="R25" s="1377"/>
    </row>
    <row r="26" spans="1:18">
      <c r="A26" s="1407"/>
      <c r="E26" s="1377"/>
      <c r="R26" s="1377"/>
    </row>
    <row r="27" spans="1:18">
      <c r="A27" s="1407"/>
      <c r="E27" s="1377"/>
      <c r="R27" s="1377"/>
    </row>
    <row r="28" spans="1:18">
      <c r="A28" s="1407"/>
      <c r="E28" s="1377"/>
      <c r="R28" s="1377"/>
    </row>
    <row r="29" spans="1:18">
      <c r="A29" s="1407"/>
    </row>
  </sheetData>
  <mergeCells count="7">
    <mergeCell ref="E5:E6"/>
    <mergeCell ref="F18:K18"/>
    <mergeCell ref="C24:D24"/>
    <mergeCell ref="A5:A6"/>
    <mergeCell ref="B5:B6"/>
    <mergeCell ref="C5:C6"/>
    <mergeCell ref="D5:D6"/>
  </mergeCells>
  <pageMargins left="0.7" right="0.7" top="0.75" bottom="0.75" header="0.3" footer="0.3"/>
  <pageSetup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Q67"/>
  <sheetViews>
    <sheetView workbookViewId="0">
      <selection activeCell="H3" sqref="H3"/>
    </sheetView>
  </sheetViews>
  <sheetFormatPr defaultColWidth="8.88671875" defaultRowHeight="12.75"/>
  <cols>
    <col min="1" max="1" width="8.88671875" style="1279"/>
    <col min="2" max="2" width="50" style="1278" customWidth="1"/>
    <col min="3" max="3" width="15.88671875" style="1278" customWidth="1"/>
    <col min="4" max="4" width="13.77734375" style="1278" customWidth="1"/>
    <col min="5" max="5" width="7.77734375" style="1278" customWidth="1"/>
    <col min="6" max="6" width="8.44140625" style="1278" customWidth="1"/>
    <col min="7" max="7" width="10" style="1278" bestFit="1" customWidth="1"/>
    <col min="8" max="8" width="9.88671875" style="1278" bestFit="1" customWidth="1"/>
    <col min="9" max="10" width="8.88671875" style="1278"/>
    <col min="11" max="11" width="10.44140625" style="1278" bestFit="1" customWidth="1"/>
    <col min="12" max="12" width="39.44140625" style="1278" bestFit="1" customWidth="1"/>
    <col min="13" max="16384" width="8.88671875" style="1278"/>
  </cols>
  <sheetData>
    <row r="1" spans="1:17" ht="15">
      <c r="A1" s="1772" t="s">
        <v>827</v>
      </c>
      <c r="B1" s="1773"/>
      <c r="C1" s="1773"/>
      <c r="D1" s="1773"/>
      <c r="E1" s="1773"/>
      <c r="F1" s="1773"/>
      <c r="G1" s="1069"/>
      <c r="J1" s="1069"/>
      <c r="K1" s="1069"/>
      <c r="L1" s="1069"/>
      <c r="M1" s="1069"/>
      <c r="N1" s="1069"/>
      <c r="O1" s="1069"/>
      <c r="P1" s="1069"/>
      <c r="Q1" s="1069"/>
    </row>
    <row r="2" spans="1:17" ht="15.75">
      <c r="A2" s="1773" t="s">
        <v>489</v>
      </c>
      <c r="B2" s="1773"/>
      <c r="C2" s="1773"/>
      <c r="D2" s="1773"/>
      <c r="E2" s="1773"/>
      <c r="F2" s="1773"/>
      <c r="G2" s="1069"/>
      <c r="H2" s="1284" t="s">
        <v>1079</v>
      </c>
      <c r="I2" s="1284"/>
      <c r="J2" s="1069"/>
      <c r="K2" s="1069"/>
      <c r="L2" s="1069"/>
      <c r="M2" s="1069"/>
      <c r="N2" s="1069"/>
      <c r="O2" s="1069"/>
      <c r="P2" s="1069"/>
      <c r="Q2" s="1069"/>
    </row>
    <row r="3" spans="1:17" ht="15">
      <c r="H3" s="1637"/>
      <c r="I3" s="1300"/>
    </row>
    <row r="4" spans="1:17">
      <c r="A4" s="1299"/>
      <c r="B4" s="1286"/>
      <c r="C4" s="1286"/>
      <c r="D4" s="1286"/>
      <c r="E4" s="1286"/>
      <c r="F4" s="1286"/>
      <c r="G4" s="1286"/>
      <c r="H4" s="1286"/>
      <c r="I4" s="1286"/>
      <c r="J4" s="1286"/>
    </row>
    <row r="5" spans="1:17">
      <c r="A5" s="1326" t="s">
        <v>658</v>
      </c>
      <c r="B5" s="1295"/>
      <c r="C5" s="1295"/>
      <c r="D5" s="1282"/>
      <c r="E5" s="1282"/>
      <c r="F5" s="1282"/>
      <c r="G5" s="1286"/>
      <c r="H5" s="1286"/>
      <c r="I5" s="1286"/>
      <c r="J5" s="1286"/>
    </row>
    <row r="6" spans="1:17" ht="16.5">
      <c r="A6" s="1298"/>
      <c r="B6" s="1295"/>
      <c r="C6" s="1282"/>
      <c r="D6" s="1282"/>
      <c r="E6" s="1282"/>
      <c r="F6" s="1282"/>
      <c r="G6" s="1286"/>
      <c r="H6" s="1286"/>
      <c r="I6" s="1286"/>
      <c r="J6" s="1286"/>
    </row>
    <row r="7" spans="1:17" ht="27.75" customHeight="1">
      <c r="A7" s="1291" t="s">
        <v>659</v>
      </c>
      <c r="B7" s="1282" t="s">
        <v>694</v>
      </c>
      <c r="C7" s="1294"/>
      <c r="D7" s="1293" t="s">
        <v>816</v>
      </c>
      <c r="E7" s="1293" t="s">
        <v>817</v>
      </c>
      <c r="F7" s="1292" t="s">
        <v>815</v>
      </c>
      <c r="G7" s="1292" t="s">
        <v>766</v>
      </c>
      <c r="H7" s="1293" t="s">
        <v>819</v>
      </c>
      <c r="I7" s="1292" t="s">
        <v>20</v>
      </c>
      <c r="J7" s="1286"/>
    </row>
    <row r="8" spans="1:17" ht="18.75" customHeight="1">
      <c r="A8" s="1291"/>
      <c r="B8" s="1282"/>
      <c r="C8" s="1282"/>
      <c r="D8" s="1282"/>
      <c r="E8" s="1282"/>
      <c r="F8" s="1295"/>
      <c r="G8" s="1286"/>
      <c r="H8" s="1286"/>
      <c r="I8" s="1286"/>
      <c r="J8" s="1286"/>
    </row>
    <row r="9" spans="1:17" ht="15">
      <c r="A9" s="1283">
        <v>1</v>
      </c>
      <c r="B9" s="1316" t="s">
        <v>1086</v>
      </c>
      <c r="C9" s="1242"/>
      <c r="D9" s="1251"/>
      <c r="E9" s="1251">
        <v>493231.06</v>
      </c>
      <c r="F9" s="1251"/>
      <c r="G9" s="1318"/>
      <c r="H9" s="1251"/>
      <c r="I9" s="1233">
        <f t="shared" ref="I9:I32" si="0">SUM(D9:H9)</f>
        <v>493231.06</v>
      </c>
      <c r="J9" s="1286"/>
    </row>
    <row r="10" spans="1:17" ht="15">
      <c r="A10" s="1283">
        <f t="shared" ref="A10:A33" si="1">+A9+1</f>
        <v>2</v>
      </c>
      <c r="B10" s="1317"/>
      <c r="C10" s="1242"/>
      <c r="D10" s="1251"/>
      <c r="E10" s="1251"/>
      <c r="F10" s="1251"/>
      <c r="G10" s="1318"/>
      <c r="H10" s="1251"/>
      <c r="I10" s="1233">
        <f t="shared" si="0"/>
        <v>0</v>
      </c>
      <c r="J10" s="1286"/>
    </row>
    <row r="11" spans="1:17" ht="15">
      <c r="A11" s="1283">
        <f t="shared" si="1"/>
        <v>3</v>
      </c>
      <c r="B11" s="1317"/>
      <c r="C11" s="1242"/>
      <c r="D11" s="1251"/>
      <c r="E11" s="1251"/>
      <c r="F11" s="1251"/>
      <c r="G11" s="1318"/>
      <c r="H11" s="1251"/>
      <c r="I11" s="1233">
        <f t="shared" si="0"/>
        <v>0</v>
      </c>
      <c r="J11" s="1286"/>
    </row>
    <row r="12" spans="1:17" ht="15">
      <c r="A12" s="1283">
        <f t="shared" si="1"/>
        <v>4</v>
      </c>
      <c r="B12" s="1317"/>
      <c r="C12" s="1242"/>
      <c r="D12" s="1251"/>
      <c r="E12" s="1251"/>
      <c r="F12" s="1251"/>
      <c r="G12" s="1318"/>
      <c r="H12" s="1251"/>
      <c r="I12" s="1233">
        <f t="shared" si="0"/>
        <v>0</v>
      </c>
      <c r="J12" s="1286"/>
    </row>
    <row r="13" spans="1:17" ht="15">
      <c r="A13" s="1283">
        <f t="shared" si="1"/>
        <v>5</v>
      </c>
      <c r="B13" s="1317"/>
      <c r="C13" s="1242"/>
      <c r="D13" s="1251"/>
      <c r="E13" s="1251"/>
      <c r="F13" s="1251"/>
      <c r="G13" s="1318"/>
      <c r="H13" s="1251"/>
      <c r="I13" s="1233">
        <f t="shared" si="0"/>
        <v>0</v>
      </c>
      <c r="J13" s="1286"/>
    </row>
    <row r="14" spans="1:17" ht="15">
      <c r="A14" s="1283">
        <f t="shared" si="1"/>
        <v>6</v>
      </c>
      <c r="B14" s="1316"/>
      <c r="C14" s="1242"/>
      <c r="D14" s="1251"/>
      <c r="E14" s="1251"/>
      <c r="F14" s="1251"/>
      <c r="G14" s="1318"/>
      <c r="H14" s="1251"/>
      <c r="I14" s="1233">
        <f t="shared" si="0"/>
        <v>0</v>
      </c>
      <c r="J14" s="1286"/>
    </row>
    <row r="15" spans="1:17" ht="15">
      <c r="A15" s="1283">
        <f t="shared" si="1"/>
        <v>7</v>
      </c>
      <c r="B15" s="1316"/>
      <c r="C15" s="1242"/>
      <c r="D15" s="1251"/>
      <c r="E15" s="1251"/>
      <c r="F15" s="1251"/>
      <c r="G15" s="1318"/>
      <c r="H15" s="1251"/>
      <c r="I15" s="1233">
        <f t="shared" si="0"/>
        <v>0</v>
      </c>
      <c r="J15" s="1286"/>
    </row>
    <row r="16" spans="1:17" ht="15">
      <c r="A16" s="1283">
        <f t="shared" si="1"/>
        <v>8</v>
      </c>
      <c r="B16" s="1316"/>
      <c r="C16" s="1242"/>
      <c r="D16" s="1251"/>
      <c r="E16" s="1251"/>
      <c r="F16" s="1251"/>
      <c r="G16" s="1318"/>
      <c r="H16" s="1251"/>
      <c r="I16" s="1233">
        <f t="shared" si="0"/>
        <v>0</v>
      </c>
      <c r="J16" s="1286"/>
    </row>
    <row r="17" spans="1:10" ht="15">
      <c r="A17" s="1283">
        <f t="shared" si="1"/>
        <v>9</v>
      </c>
      <c r="B17" s="1316"/>
      <c r="C17" s="1242"/>
      <c r="D17" s="1251"/>
      <c r="E17" s="1251"/>
      <c r="F17" s="1251"/>
      <c r="G17" s="1318"/>
      <c r="H17" s="1251"/>
      <c r="I17" s="1233">
        <f t="shared" si="0"/>
        <v>0</v>
      </c>
      <c r="J17" s="1286"/>
    </row>
    <row r="18" spans="1:10" ht="15">
      <c r="A18" s="1283">
        <f t="shared" si="1"/>
        <v>10</v>
      </c>
      <c r="B18" s="1316"/>
      <c r="C18" s="1242"/>
      <c r="D18" s="1251"/>
      <c r="E18" s="1251"/>
      <c r="F18" s="1251"/>
      <c r="G18" s="1318"/>
      <c r="H18" s="1251"/>
      <c r="I18" s="1233">
        <f t="shared" si="0"/>
        <v>0</v>
      </c>
      <c r="J18" s="1286"/>
    </row>
    <row r="19" spans="1:10" ht="15">
      <c r="A19" s="1283">
        <f t="shared" si="1"/>
        <v>11</v>
      </c>
      <c r="B19" s="1316"/>
      <c r="C19" s="1242"/>
      <c r="D19" s="1251"/>
      <c r="E19" s="1251"/>
      <c r="F19" s="1251"/>
      <c r="G19" s="1318"/>
      <c r="H19" s="1251"/>
      <c r="I19" s="1233">
        <f t="shared" si="0"/>
        <v>0</v>
      </c>
      <c r="J19" s="1286"/>
    </row>
    <row r="20" spans="1:10" ht="15">
      <c r="A20" s="1283">
        <f t="shared" si="1"/>
        <v>12</v>
      </c>
      <c r="B20" s="1316"/>
      <c r="C20" s="1242"/>
      <c r="D20" s="1251"/>
      <c r="E20" s="1251"/>
      <c r="F20" s="1251"/>
      <c r="G20" s="1318"/>
      <c r="H20" s="1251"/>
      <c r="I20" s="1233">
        <f t="shared" si="0"/>
        <v>0</v>
      </c>
      <c r="J20" s="1286"/>
    </row>
    <row r="21" spans="1:10" ht="15">
      <c r="A21" s="1283">
        <f t="shared" si="1"/>
        <v>13</v>
      </c>
      <c r="B21" s="1316"/>
      <c r="C21" s="1242"/>
      <c r="D21" s="1251"/>
      <c r="E21" s="1251"/>
      <c r="F21" s="1251"/>
      <c r="G21" s="1318"/>
      <c r="H21" s="1251"/>
      <c r="I21" s="1233">
        <f t="shared" si="0"/>
        <v>0</v>
      </c>
      <c r="J21" s="1286"/>
    </row>
    <row r="22" spans="1:10" ht="15">
      <c r="A22" s="1283">
        <f t="shared" si="1"/>
        <v>14</v>
      </c>
      <c r="B22" s="1316"/>
      <c r="C22" s="1242"/>
      <c r="D22" s="1251"/>
      <c r="E22" s="1251"/>
      <c r="F22" s="1251"/>
      <c r="G22" s="1318"/>
      <c r="H22" s="1251"/>
      <c r="I22" s="1233">
        <f t="shared" si="0"/>
        <v>0</v>
      </c>
      <c r="J22" s="1286"/>
    </row>
    <row r="23" spans="1:10" ht="15">
      <c r="A23" s="1283">
        <f t="shared" si="1"/>
        <v>15</v>
      </c>
      <c r="B23" s="1316"/>
      <c r="C23" s="1242"/>
      <c r="D23" s="1251"/>
      <c r="E23" s="1251"/>
      <c r="F23" s="1251"/>
      <c r="G23" s="1318"/>
      <c r="H23" s="1251"/>
      <c r="I23" s="1233">
        <f t="shared" si="0"/>
        <v>0</v>
      </c>
      <c r="J23" s="1286"/>
    </row>
    <row r="24" spans="1:10" ht="15">
      <c r="A24" s="1283">
        <f t="shared" si="1"/>
        <v>16</v>
      </c>
      <c r="B24" s="1316"/>
      <c r="C24" s="1242"/>
      <c r="D24" s="1251"/>
      <c r="E24" s="1251"/>
      <c r="F24" s="1251"/>
      <c r="G24" s="1322"/>
      <c r="H24" s="1251"/>
      <c r="I24" s="1233">
        <f t="shared" si="0"/>
        <v>0</v>
      </c>
      <c r="J24" s="1286"/>
    </row>
    <row r="25" spans="1:10" ht="15">
      <c r="A25" s="1283">
        <f t="shared" si="1"/>
        <v>17</v>
      </c>
      <c r="B25" s="1316"/>
      <c r="C25" s="1242"/>
      <c r="D25" s="1251"/>
      <c r="E25" s="1251"/>
      <c r="F25" s="1251"/>
      <c r="G25" s="1322"/>
      <c r="H25" s="1251"/>
      <c r="I25" s="1233">
        <f t="shared" si="0"/>
        <v>0</v>
      </c>
      <c r="J25" s="1286"/>
    </row>
    <row r="26" spans="1:10" ht="15">
      <c r="A26" s="1283">
        <f t="shared" si="1"/>
        <v>18</v>
      </c>
      <c r="B26" s="1316"/>
      <c r="C26" s="1242"/>
      <c r="D26" s="1251"/>
      <c r="E26" s="1251"/>
      <c r="F26" s="1251"/>
      <c r="G26" s="1322"/>
      <c r="H26" s="1251"/>
      <c r="I26" s="1233">
        <f t="shared" si="0"/>
        <v>0</v>
      </c>
      <c r="J26" s="1286"/>
    </row>
    <row r="27" spans="1:10" ht="15">
      <c r="A27" s="1283">
        <f t="shared" si="1"/>
        <v>19</v>
      </c>
      <c r="B27" s="1316"/>
      <c r="C27" s="1242"/>
      <c r="D27" s="1251"/>
      <c r="E27" s="1251"/>
      <c r="F27" s="1251"/>
      <c r="G27" s="1322"/>
      <c r="H27" s="1251"/>
      <c r="I27" s="1233">
        <f t="shared" si="0"/>
        <v>0</v>
      </c>
      <c r="J27" s="1286"/>
    </row>
    <row r="28" spans="1:10" ht="15">
      <c r="A28" s="1283">
        <f t="shared" si="1"/>
        <v>20</v>
      </c>
      <c r="B28" s="1316"/>
      <c r="C28" s="1242"/>
      <c r="D28" s="1251"/>
      <c r="E28" s="1251"/>
      <c r="F28" s="1251"/>
      <c r="G28" s="1322"/>
      <c r="H28" s="1251"/>
      <c r="I28" s="1233">
        <f t="shared" si="0"/>
        <v>0</v>
      </c>
      <c r="J28" s="1286"/>
    </row>
    <row r="29" spans="1:10" ht="15">
      <c r="A29" s="1283">
        <f t="shared" si="1"/>
        <v>21</v>
      </c>
      <c r="B29" s="1316"/>
      <c r="C29" s="1242"/>
      <c r="D29" s="1251"/>
      <c r="E29" s="1251"/>
      <c r="F29" s="1251"/>
      <c r="G29" s="1322"/>
      <c r="H29" s="1251"/>
      <c r="I29" s="1233">
        <f t="shared" si="0"/>
        <v>0</v>
      </c>
      <c r="J29" s="1286"/>
    </row>
    <row r="30" spans="1:10" ht="15">
      <c r="A30" s="1283">
        <f t="shared" si="1"/>
        <v>22</v>
      </c>
      <c r="B30" s="1316"/>
      <c r="C30" s="1242"/>
      <c r="D30" s="1251"/>
      <c r="E30" s="1251"/>
      <c r="F30" s="1251"/>
      <c r="G30" s="1322"/>
      <c r="H30" s="1251"/>
      <c r="I30" s="1233">
        <f t="shared" si="0"/>
        <v>0</v>
      </c>
      <c r="J30" s="1286"/>
    </row>
    <row r="31" spans="1:10" ht="15">
      <c r="A31" s="1283">
        <f t="shared" si="1"/>
        <v>23</v>
      </c>
      <c r="B31" s="1316"/>
      <c r="C31" s="1242"/>
      <c r="D31" s="1251"/>
      <c r="E31" s="1251"/>
      <c r="F31" s="1251"/>
      <c r="G31" s="1322"/>
      <c r="H31" s="1251"/>
      <c r="I31" s="1233">
        <f t="shared" si="0"/>
        <v>0</v>
      </c>
      <c r="J31" s="1286"/>
    </row>
    <row r="32" spans="1:10" ht="15">
      <c r="A32" s="1283">
        <f t="shared" si="1"/>
        <v>24</v>
      </c>
      <c r="B32" s="1316"/>
      <c r="C32" s="1242"/>
      <c r="D32" s="1251"/>
      <c r="E32" s="1251"/>
      <c r="F32" s="1251"/>
      <c r="G32" s="1322"/>
      <c r="H32" s="1251"/>
      <c r="I32" s="1233">
        <f t="shared" si="0"/>
        <v>0</v>
      </c>
      <c r="J32" s="1286"/>
    </row>
    <row r="33" spans="1:15" ht="13.5" thickBot="1">
      <c r="A33" s="1283">
        <f t="shared" si="1"/>
        <v>25</v>
      </c>
      <c r="B33" s="1282" t="s">
        <v>20</v>
      </c>
      <c r="C33" s="1282"/>
      <c r="D33" s="1323">
        <f>SUM(D9:D32)</f>
        <v>0</v>
      </c>
      <c r="E33" s="1323">
        <f>SUM(E9:E32)</f>
        <v>493231.06</v>
      </c>
      <c r="F33" s="1323">
        <f>SUM(F9:F32)</f>
        <v>0</v>
      </c>
      <c r="G33" s="725"/>
      <c r="H33" s="1323">
        <f>SUM(H9:H32)</f>
        <v>0</v>
      </c>
      <c r="I33" s="1323">
        <f>SUM(I9:I32)</f>
        <v>493231.06</v>
      </c>
      <c r="J33" s="1286"/>
    </row>
    <row r="34" spans="1:15" ht="13.5" thickTop="1">
      <c r="A34" s="1297" t="s">
        <v>7</v>
      </c>
      <c r="B34" s="1282"/>
      <c r="C34" s="1282"/>
      <c r="D34" s="1320"/>
      <c r="E34" s="1320"/>
      <c r="F34" s="1320"/>
      <c r="G34" s="1320"/>
      <c r="H34" s="1320"/>
      <c r="I34" s="1320"/>
      <c r="J34" s="1286"/>
    </row>
    <row r="35" spans="1:15">
      <c r="A35" s="1296" t="s">
        <v>761</v>
      </c>
      <c r="B35" s="1295"/>
      <c r="C35" s="1295"/>
      <c r="D35" s="1282"/>
      <c r="E35" s="1282"/>
      <c r="F35" s="1282"/>
      <c r="G35" s="1286"/>
      <c r="H35" s="1286"/>
      <c r="I35" s="1286"/>
      <c r="J35" s="1286"/>
    </row>
    <row r="36" spans="1:15" ht="16.5">
      <c r="A36" s="1298" t="s">
        <v>923</v>
      </c>
      <c r="B36" s="1282"/>
      <c r="C36" s="1282"/>
      <c r="D36" s="1282"/>
      <c r="E36" s="1282"/>
      <c r="F36" s="1282"/>
      <c r="G36" s="1286"/>
      <c r="H36" s="1286"/>
      <c r="I36" s="1286"/>
      <c r="J36" s="1286"/>
    </row>
    <row r="37" spans="1:15" ht="25.5">
      <c r="A37" s="1293" t="s">
        <v>659</v>
      </c>
      <c r="B37" s="1294" t="s">
        <v>660</v>
      </c>
      <c r="C37" s="1294" t="s">
        <v>661</v>
      </c>
      <c r="D37" s="1293" t="s">
        <v>816</v>
      </c>
      <c r="E37" s="1293" t="s">
        <v>817</v>
      </c>
      <c r="F37" s="1292" t="s">
        <v>815</v>
      </c>
      <c r="G37" s="1292" t="s">
        <v>766</v>
      </c>
      <c r="H37" s="1293" t="s">
        <v>819</v>
      </c>
      <c r="I37" s="1292" t="s">
        <v>20</v>
      </c>
      <c r="J37" s="1286"/>
    </row>
    <row r="38" spans="1:15">
      <c r="A38" s="1291"/>
      <c r="B38" s="1282"/>
      <c r="C38" s="1282"/>
      <c r="D38" s="1282"/>
      <c r="E38" s="1282"/>
      <c r="F38" s="1286"/>
      <c r="G38" s="1282"/>
      <c r="H38" s="1288"/>
      <c r="I38" s="1288"/>
      <c r="J38" s="1288"/>
      <c r="K38" s="1287"/>
      <c r="L38" s="1287"/>
    </row>
    <row r="39" spans="1:15" ht="15">
      <c r="A39" s="1283">
        <f>+A33+1</f>
        <v>26</v>
      </c>
      <c r="B39" s="1285" t="s">
        <v>772</v>
      </c>
      <c r="C39" s="1234">
        <v>560</v>
      </c>
      <c r="D39" s="1251"/>
      <c r="E39" s="1251"/>
      <c r="F39" s="1251"/>
      <c r="G39" s="1318"/>
      <c r="H39" s="1251"/>
      <c r="I39" s="1233">
        <f t="shared" ref="I39:I62" si="2">SUM(D39:H39)</f>
        <v>0</v>
      </c>
      <c r="J39" s="1288"/>
      <c r="K39" s="1225"/>
      <c r="L39" s="1225"/>
      <c r="M39" s="1289"/>
      <c r="N39" s="1289"/>
      <c r="O39" s="1289"/>
    </row>
    <row r="40" spans="1:15" ht="15">
      <c r="A40" s="1283">
        <f t="shared" ref="A40:A63" si="3">+A39+1</f>
        <v>27</v>
      </c>
      <c r="B40" s="1285" t="s">
        <v>773</v>
      </c>
      <c r="C40" s="1234">
        <v>561.1</v>
      </c>
      <c r="D40" s="1251"/>
      <c r="E40" s="1251"/>
      <c r="F40" s="1251"/>
      <c r="G40" s="1318"/>
      <c r="H40" s="1251"/>
      <c r="I40" s="1233">
        <f t="shared" si="2"/>
        <v>0</v>
      </c>
      <c r="J40" s="1288"/>
      <c r="K40" s="1225"/>
      <c r="L40" s="1225"/>
      <c r="M40" s="1289"/>
      <c r="N40" s="1289"/>
      <c r="O40" s="1289"/>
    </row>
    <row r="41" spans="1:15" ht="15">
      <c r="A41" s="1283">
        <f t="shared" si="3"/>
        <v>28</v>
      </c>
      <c r="B41" s="1285" t="s">
        <v>774</v>
      </c>
      <c r="C41" s="1234">
        <v>561.20000000000005</v>
      </c>
      <c r="D41" s="1251"/>
      <c r="E41" s="1251"/>
      <c r="F41" s="1251"/>
      <c r="G41" s="1318"/>
      <c r="H41" s="1251"/>
      <c r="I41" s="1233">
        <f t="shared" si="2"/>
        <v>0</v>
      </c>
      <c r="J41" s="1288"/>
      <c r="K41" s="1225"/>
      <c r="L41" s="1225"/>
      <c r="M41" s="1289"/>
      <c r="N41" s="1289"/>
      <c r="O41" s="1289"/>
    </row>
    <row r="42" spans="1:15" ht="15">
      <c r="A42" s="1283">
        <f t="shared" si="3"/>
        <v>29</v>
      </c>
      <c r="B42" s="1285" t="s">
        <v>775</v>
      </c>
      <c r="C42" s="1234">
        <v>561.29999999999995</v>
      </c>
      <c r="D42" s="1251"/>
      <c r="E42" s="1251"/>
      <c r="F42" s="1251"/>
      <c r="G42" s="1318"/>
      <c r="H42" s="1251"/>
      <c r="I42" s="1233">
        <f t="shared" si="2"/>
        <v>0</v>
      </c>
      <c r="J42" s="1288"/>
      <c r="K42" s="1225"/>
      <c r="L42" s="1225"/>
      <c r="N42" s="1289"/>
      <c r="O42" s="1289"/>
    </row>
    <row r="43" spans="1:15" ht="15">
      <c r="A43" s="1283">
        <f t="shared" si="3"/>
        <v>30</v>
      </c>
      <c r="B43" s="1285" t="s">
        <v>776</v>
      </c>
      <c r="C43" s="1234">
        <v>561.4</v>
      </c>
      <c r="D43" s="1251"/>
      <c r="E43" s="1251"/>
      <c r="F43" s="1251"/>
      <c r="G43" s="1318"/>
      <c r="H43" s="1251"/>
      <c r="I43" s="1233">
        <f t="shared" si="2"/>
        <v>0</v>
      </c>
      <c r="J43" s="1231"/>
      <c r="K43" s="1225"/>
      <c r="L43" s="1287"/>
      <c r="M43" s="1289"/>
      <c r="N43" s="1289"/>
      <c r="O43" s="1289"/>
    </row>
    <row r="44" spans="1:15" ht="15">
      <c r="A44" s="1283">
        <f t="shared" si="3"/>
        <v>31</v>
      </c>
      <c r="B44" s="1285" t="s">
        <v>777</v>
      </c>
      <c r="C44" s="1234">
        <v>561.5</v>
      </c>
      <c r="D44" s="1251"/>
      <c r="E44" s="1251"/>
      <c r="F44" s="1251"/>
      <c r="G44" s="1318"/>
      <c r="H44" s="1251"/>
      <c r="I44" s="1233">
        <f t="shared" si="2"/>
        <v>0</v>
      </c>
      <c r="J44" s="1231"/>
      <c r="K44" s="1225"/>
      <c r="L44" s="1225"/>
      <c r="M44" s="1289"/>
      <c r="N44" s="1289"/>
      <c r="O44" s="1289"/>
    </row>
    <row r="45" spans="1:15" ht="15">
      <c r="A45" s="1283">
        <f t="shared" si="3"/>
        <v>32</v>
      </c>
      <c r="B45" s="1285" t="s">
        <v>778</v>
      </c>
      <c r="C45" s="1234">
        <v>561.6</v>
      </c>
      <c r="D45" s="1251"/>
      <c r="E45" s="1251"/>
      <c r="F45" s="1251"/>
      <c r="G45" s="1318"/>
      <c r="H45" s="1251"/>
      <c r="I45" s="1233">
        <f t="shared" si="2"/>
        <v>0</v>
      </c>
      <c r="J45" s="1231"/>
      <c r="K45" s="1225"/>
      <c r="L45" s="1225"/>
      <c r="M45" s="1289"/>
      <c r="N45" s="1289"/>
      <c r="O45" s="1289"/>
    </row>
    <row r="46" spans="1:15" ht="15">
      <c r="A46" s="1283">
        <f t="shared" si="3"/>
        <v>33</v>
      </c>
      <c r="B46" s="1285" t="s">
        <v>779</v>
      </c>
      <c r="C46" s="1234">
        <v>561.70000000000005</v>
      </c>
      <c r="D46" s="1251"/>
      <c r="E46" s="1251"/>
      <c r="F46" s="1251"/>
      <c r="G46" s="1318"/>
      <c r="H46" s="1251"/>
      <c r="I46" s="1233">
        <f t="shared" si="2"/>
        <v>0</v>
      </c>
      <c r="J46" s="1231"/>
      <c r="K46" s="1225"/>
      <c r="L46" s="1225"/>
      <c r="M46" s="1289"/>
      <c r="N46" s="1289"/>
      <c r="O46" s="1289"/>
    </row>
    <row r="47" spans="1:15" ht="15">
      <c r="A47" s="1283">
        <f t="shared" si="3"/>
        <v>34</v>
      </c>
      <c r="B47" s="1285" t="s">
        <v>780</v>
      </c>
      <c r="C47" s="1234">
        <v>561.79999999999995</v>
      </c>
      <c r="D47" s="1251"/>
      <c r="E47" s="1251"/>
      <c r="F47" s="1251"/>
      <c r="G47" s="1318"/>
      <c r="H47" s="1251"/>
      <c r="I47" s="1233">
        <f t="shared" si="2"/>
        <v>0</v>
      </c>
      <c r="J47" s="1288"/>
      <c r="K47" s="1225"/>
      <c r="L47" s="1225"/>
      <c r="M47" s="1289"/>
      <c r="N47" s="1289"/>
      <c r="O47" s="1289"/>
    </row>
    <row r="48" spans="1:15" ht="15">
      <c r="A48" s="1283">
        <f t="shared" si="3"/>
        <v>35</v>
      </c>
      <c r="B48" s="1285" t="s">
        <v>786</v>
      </c>
      <c r="C48" s="1234">
        <v>562</v>
      </c>
      <c r="D48" s="1251"/>
      <c r="E48" s="1251"/>
      <c r="F48" s="1251"/>
      <c r="G48" s="1318"/>
      <c r="H48" s="1251"/>
      <c r="I48" s="1233">
        <f t="shared" si="2"/>
        <v>0</v>
      </c>
      <c r="J48" s="1288"/>
      <c r="K48" s="1287"/>
      <c r="L48" s="1287"/>
    </row>
    <row r="49" spans="1:12" ht="15">
      <c r="A49" s="1283">
        <f t="shared" si="3"/>
        <v>36</v>
      </c>
      <c r="B49" s="1285" t="s">
        <v>787</v>
      </c>
      <c r="C49" s="1234">
        <v>563</v>
      </c>
      <c r="D49" s="1251"/>
      <c r="E49" s="1251"/>
      <c r="F49" s="1251"/>
      <c r="G49" s="1318"/>
      <c r="H49" s="1251"/>
      <c r="I49" s="1233">
        <f t="shared" si="2"/>
        <v>0</v>
      </c>
      <c r="J49" s="1288"/>
      <c r="K49" s="1287"/>
      <c r="L49" s="1287"/>
    </row>
    <row r="50" spans="1:12" ht="15">
      <c r="A50" s="1283">
        <f t="shared" si="3"/>
        <v>37</v>
      </c>
      <c r="B50" s="1285" t="s">
        <v>788</v>
      </c>
      <c r="C50" s="1234">
        <v>564</v>
      </c>
      <c r="D50" s="1251"/>
      <c r="E50" s="1251"/>
      <c r="F50" s="1251"/>
      <c r="G50" s="1318"/>
      <c r="H50" s="1251"/>
      <c r="I50" s="1233">
        <f t="shared" si="2"/>
        <v>0</v>
      </c>
      <c r="J50" s="1286"/>
    </row>
    <row r="51" spans="1:12" ht="15">
      <c r="A51" s="1283">
        <f t="shared" si="3"/>
        <v>38</v>
      </c>
      <c r="B51" s="1285" t="s">
        <v>789</v>
      </c>
      <c r="C51" s="1234">
        <v>565</v>
      </c>
      <c r="D51" s="1251"/>
      <c r="E51" s="1251"/>
      <c r="F51" s="1251"/>
      <c r="G51" s="1318"/>
      <c r="H51" s="1251"/>
      <c r="I51" s="1233">
        <f t="shared" si="2"/>
        <v>0</v>
      </c>
      <c r="J51" s="1286"/>
    </row>
    <row r="52" spans="1:12" ht="15">
      <c r="A52" s="1283">
        <f t="shared" si="3"/>
        <v>39</v>
      </c>
      <c r="B52" s="1285" t="s">
        <v>790</v>
      </c>
      <c r="C52" s="1234">
        <v>566</v>
      </c>
      <c r="D52" s="1251"/>
      <c r="E52" s="1251">
        <v>493231.06</v>
      </c>
      <c r="F52" s="1251"/>
      <c r="G52" s="1318"/>
      <c r="H52" s="1251"/>
      <c r="I52" s="1233">
        <f t="shared" si="2"/>
        <v>493231.06</v>
      </c>
      <c r="J52" s="1286"/>
    </row>
    <row r="53" spans="1:12" ht="15">
      <c r="A53" s="1283">
        <f t="shared" si="3"/>
        <v>40</v>
      </c>
      <c r="B53" s="1285" t="s">
        <v>781</v>
      </c>
      <c r="C53" s="1234">
        <v>567</v>
      </c>
      <c r="D53" s="1251"/>
      <c r="E53" s="1251"/>
      <c r="F53" s="1251"/>
      <c r="G53" s="1318"/>
      <c r="H53" s="1251"/>
      <c r="I53" s="1233">
        <f t="shared" si="2"/>
        <v>0</v>
      </c>
      <c r="J53" s="1286"/>
    </row>
    <row r="54" spans="1:12" ht="15">
      <c r="A54" s="1283">
        <f t="shared" si="3"/>
        <v>41</v>
      </c>
      <c r="B54" s="1285" t="s">
        <v>791</v>
      </c>
      <c r="C54" s="1234">
        <v>568</v>
      </c>
      <c r="D54" s="1251"/>
      <c r="E54" s="1251"/>
      <c r="F54" s="1251"/>
      <c r="G54" s="1318"/>
      <c r="H54" s="1251"/>
      <c r="I54" s="1233">
        <f t="shared" si="2"/>
        <v>0</v>
      </c>
    </row>
    <row r="55" spans="1:12" ht="15">
      <c r="A55" s="1283">
        <f t="shared" si="3"/>
        <v>42</v>
      </c>
      <c r="B55" s="1285" t="s">
        <v>792</v>
      </c>
      <c r="C55" s="1234">
        <v>569</v>
      </c>
      <c r="D55" s="1251"/>
      <c r="E55" s="1251"/>
      <c r="F55" s="1251"/>
      <c r="G55" s="1318"/>
      <c r="H55" s="1251"/>
      <c r="I55" s="1233">
        <f t="shared" si="2"/>
        <v>0</v>
      </c>
    </row>
    <row r="56" spans="1:12" ht="15">
      <c r="A56" s="1283">
        <f t="shared" si="3"/>
        <v>43</v>
      </c>
      <c r="B56" s="1285" t="s">
        <v>782</v>
      </c>
      <c r="C56" s="1234">
        <v>569.1</v>
      </c>
      <c r="D56" s="1251"/>
      <c r="E56" s="1251"/>
      <c r="F56" s="1251"/>
      <c r="G56" s="1318"/>
      <c r="H56" s="1251"/>
      <c r="I56" s="1233">
        <f t="shared" si="2"/>
        <v>0</v>
      </c>
    </row>
    <row r="57" spans="1:12" ht="15">
      <c r="A57" s="1283">
        <f t="shared" si="3"/>
        <v>44</v>
      </c>
      <c r="B57" s="1285" t="s">
        <v>783</v>
      </c>
      <c r="C57" s="1234">
        <v>569.20000000000005</v>
      </c>
      <c r="D57" s="1251"/>
      <c r="E57" s="1251"/>
      <c r="F57" s="1251"/>
      <c r="G57" s="1318"/>
      <c r="H57" s="1251"/>
      <c r="I57" s="1233">
        <f t="shared" si="2"/>
        <v>0</v>
      </c>
    </row>
    <row r="58" spans="1:12" ht="15">
      <c r="A58" s="1283">
        <f t="shared" si="3"/>
        <v>45</v>
      </c>
      <c r="B58" s="1285" t="s">
        <v>784</v>
      </c>
      <c r="C58" s="1234">
        <v>569.29999999999995</v>
      </c>
      <c r="D58" s="1251"/>
      <c r="E58" s="1251"/>
      <c r="F58" s="1251"/>
      <c r="G58" s="1318"/>
      <c r="H58" s="1251"/>
      <c r="I58" s="1233">
        <f t="shared" si="2"/>
        <v>0</v>
      </c>
    </row>
    <row r="59" spans="1:12" ht="15">
      <c r="A59" s="1283">
        <f t="shared" si="3"/>
        <v>46</v>
      </c>
      <c r="B59" s="1285" t="s">
        <v>785</v>
      </c>
      <c r="C59" s="1234">
        <v>569.4</v>
      </c>
      <c r="D59" s="1251"/>
      <c r="E59" s="1251"/>
      <c r="F59" s="1251"/>
      <c r="G59" s="1318"/>
      <c r="H59" s="1251"/>
      <c r="I59" s="1233">
        <f t="shared" si="2"/>
        <v>0</v>
      </c>
    </row>
    <row r="60" spans="1:12" ht="15">
      <c r="A60" s="1283">
        <f t="shared" si="3"/>
        <v>47</v>
      </c>
      <c r="B60" s="1285" t="s">
        <v>793</v>
      </c>
      <c r="C60" s="1234">
        <v>570</v>
      </c>
      <c r="D60" s="1251"/>
      <c r="E60" s="1251"/>
      <c r="F60" s="1251"/>
      <c r="G60" s="1318"/>
      <c r="H60" s="1251"/>
      <c r="I60" s="1233">
        <f t="shared" si="2"/>
        <v>0</v>
      </c>
    </row>
    <row r="61" spans="1:12" ht="15">
      <c r="A61" s="1283">
        <f t="shared" si="3"/>
        <v>48</v>
      </c>
      <c r="B61" s="1285" t="s">
        <v>794</v>
      </c>
      <c r="C61" s="1234">
        <v>571</v>
      </c>
      <c r="D61" s="1251"/>
      <c r="E61" s="1251"/>
      <c r="F61" s="1251"/>
      <c r="G61" s="1318"/>
      <c r="H61" s="1251"/>
      <c r="I61" s="1233">
        <f t="shared" si="2"/>
        <v>0</v>
      </c>
    </row>
    <row r="62" spans="1:12" ht="15">
      <c r="A62" s="1283">
        <f t="shared" si="3"/>
        <v>49</v>
      </c>
      <c r="B62" s="1285" t="s">
        <v>795</v>
      </c>
      <c r="C62" s="1234">
        <v>572</v>
      </c>
      <c r="D62" s="1251"/>
      <c r="E62" s="1251"/>
      <c r="F62" s="1251"/>
      <c r="G62" s="1318"/>
      <c r="H62" s="1251"/>
      <c r="I62" s="1233">
        <f t="shared" si="2"/>
        <v>0</v>
      </c>
    </row>
    <row r="63" spans="1:12" ht="13.5" thickBot="1">
      <c r="A63" s="1283">
        <f t="shared" si="3"/>
        <v>50</v>
      </c>
      <c r="B63" s="1282" t="s">
        <v>20</v>
      </c>
      <c r="C63" s="1282"/>
      <c r="D63" s="1281">
        <f>SUM(D39:D62)</f>
        <v>0</v>
      </c>
      <c r="E63" s="1281">
        <f>SUM(E39:E62)</f>
        <v>493231.06</v>
      </c>
      <c r="F63" s="1281">
        <f>SUM(F39:F62)</f>
        <v>0</v>
      </c>
      <c r="H63" s="1281">
        <f>SUM(H39:H62)</f>
        <v>0</v>
      </c>
      <c r="I63" s="1281">
        <f>SUM(I39:I62)</f>
        <v>493231.06</v>
      </c>
    </row>
    <row r="64" spans="1:12" ht="13.5" thickTop="1"/>
    <row r="65" spans="2:2">
      <c r="B65" s="1280" t="s">
        <v>796</v>
      </c>
    </row>
    <row r="66" spans="2:2">
      <c r="B66" s="1280" t="s">
        <v>955</v>
      </c>
    </row>
    <row r="67" spans="2:2" ht="14.25">
      <c r="B67" s="1280" t="s">
        <v>818</v>
      </c>
    </row>
  </sheetData>
  <mergeCells count="2">
    <mergeCell ref="A1:F1"/>
    <mergeCell ref="A2:F2"/>
  </mergeCells>
  <pageMargins left="0.25" right="0.25" top="0.75" bottom="0.75" header="0.3" footer="0.3"/>
  <pageSetup scale="5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R61"/>
  <sheetViews>
    <sheetView workbookViewId="0">
      <selection activeCell="H3" sqref="H3"/>
    </sheetView>
  </sheetViews>
  <sheetFormatPr defaultColWidth="8.88671875" defaultRowHeight="12.75"/>
  <cols>
    <col min="1" max="1" width="3.6640625" style="1278" customWidth="1"/>
    <col min="2" max="2" width="29.109375" style="1278" customWidth="1"/>
    <col min="3" max="3" width="14.33203125" style="1278" customWidth="1"/>
    <col min="4" max="4" width="15.33203125" style="1278" bestFit="1" customWidth="1"/>
    <col min="5" max="5" width="8.6640625" style="1278" customWidth="1"/>
    <col min="6" max="6" width="7.21875" style="1278" bestFit="1" customWidth="1"/>
    <col min="7" max="7" width="8.77734375" style="1278" customWidth="1"/>
    <col min="8" max="8" width="10.109375" style="1278" customWidth="1"/>
    <col min="9" max="9" width="8.88671875" style="848"/>
    <col min="10" max="16384" width="8.88671875" style="1278"/>
  </cols>
  <sheetData>
    <row r="1" spans="1:18" ht="15">
      <c r="A1" s="1772" t="s">
        <v>832</v>
      </c>
      <c r="B1" s="1773"/>
      <c r="C1" s="1773"/>
      <c r="D1" s="1773"/>
      <c r="E1" s="1773"/>
      <c r="F1" s="1773"/>
      <c r="G1" s="1773"/>
      <c r="H1" s="1069"/>
      <c r="I1" s="411"/>
      <c r="J1" s="1069"/>
      <c r="K1" s="1069"/>
      <c r="L1" s="1069"/>
      <c r="M1" s="1069"/>
      <c r="N1" s="1069"/>
      <c r="O1" s="1069"/>
      <c r="P1" s="1069"/>
      <c r="Q1" s="1069"/>
      <c r="R1" s="1069"/>
    </row>
    <row r="2" spans="1:18" ht="15.75">
      <c r="A2" s="1773" t="s">
        <v>489</v>
      </c>
      <c r="B2" s="1773"/>
      <c r="C2" s="1773"/>
      <c r="D2" s="1773"/>
      <c r="E2" s="1773"/>
      <c r="F2" s="1773"/>
      <c r="G2" s="1773"/>
      <c r="H2" s="1284" t="s">
        <v>1079</v>
      </c>
      <c r="I2" s="1319"/>
      <c r="J2" s="1069"/>
      <c r="K2" s="1069"/>
      <c r="L2" s="1069"/>
      <c r="M2" s="1069"/>
      <c r="N2" s="1069"/>
      <c r="O2" s="1069"/>
      <c r="P2" s="1069"/>
      <c r="Q2" s="1069"/>
      <c r="R2" s="1069"/>
    </row>
    <row r="3" spans="1:18" ht="15">
      <c r="H3" s="1637"/>
      <c r="I3" s="1258"/>
    </row>
    <row r="4" spans="1:18">
      <c r="A4" s="1286"/>
      <c r="B4" s="1286"/>
      <c r="C4" s="1286"/>
      <c r="D4" s="1286"/>
      <c r="E4" s="1286"/>
      <c r="F4" s="1286"/>
      <c r="G4" s="1286"/>
      <c r="H4" s="1286"/>
      <c r="I4" s="1320"/>
      <c r="J4" s="1286"/>
      <c r="K4" s="1286"/>
    </row>
    <row r="5" spans="1:18">
      <c r="A5" s="1286"/>
      <c r="B5" s="1286"/>
      <c r="C5" s="1286"/>
      <c r="D5" s="1286"/>
      <c r="E5" s="1286"/>
      <c r="F5" s="1286"/>
      <c r="G5" s="1286"/>
      <c r="H5" s="1286"/>
      <c r="I5" s="1320"/>
      <c r="J5" s="1286"/>
      <c r="K5" s="1286"/>
    </row>
    <row r="6" spans="1:18">
      <c r="A6" s="1325" t="s">
        <v>812</v>
      </c>
      <c r="B6" s="1295"/>
      <c r="C6" s="1295"/>
      <c r="D6" s="1282"/>
      <c r="E6" s="1282"/>
      <c r="F6" s="1282"/>
      <c r="G6" s="1282"/>
      <c r="H6" s="1286"/>
      <c r="I6" s="1320"/>
      <c r="J6" s="1286"/>
      <c r="K6" s="1286"/>
    </row>
    <row r="7" spans="1:18">
      <c r="A7" s="1282"/>
      <c r="B7" s="1282"/>
      <c r="C7" s="1282"/>
      <c r="D7" s="1282"/>
      <c r="E7" s="1282"/>
      <c r="F7" s="1282"/>
      <c r="G7" s="1282"/>
      <c r="H7" s="1286"/>
      <c r="I7" s="1320"/>
      <c r="J7" s="1286"/>
      <c r="K7" s="1286"/>
    </row>
    <row r="8" spans="1:18">
      <c r="A8" s="1282" t="s">
        <v>659</v>
      </c>
      <c r="B8" s="1282" t="s">
        <v>694</v>
      </c>
      <c r="C8" s="1282"/>
      <c r="D8" s="1282" t="s">
        <v>663</v>
      </c>
      <c r="E8" s="1282" t="s">
        <v>662</v>
      </c>
      <c r="F8" s="1286" t="s">
        <v>765</v>
      </c>
      <c r="G8" s="1286" t="s">
        <v>766</v>
      </c>
      <c r="H8" s="1282" t="s">
        <v>767</v>
      </c>
      <c r="I8" s="1320" t="s">
        <v>20</v>
      </c>
      <c r="J8" s="1286"/>
      <c r="K8" s="1286"/>
    </row>
    <row r="9" spans="1:18">
      <c r="A9" s="1282"/>
      <c r="B9" s="1282"/>
      <c r="C9" s="1282"/>
      <c r="D9" s="1282"/>
      <c r="E9" s="1282"/>
      <c r="F9" s="1286"/>
      <c r="G9" s="1282"/>
      <c r="H9" s="1288"/>
      <c r="I9" s="1231"/>
      <c r="J9" s="1286"/>
      <c r="K9" s="1286"/>
    </row>
    <row r="10" spans="1:18">
      <c r="A10" s="1283">
        <v>1</v>
      </c>
      <c r="B10" s="1251" t="s">
        <v>1085</v>
      </c>
      <c r="C10" s="1252"/>
      <c r="D10" s="1251"/>
      <c r="E10" s="1322">
        <v>161267</v>
      </c>
      <c r="F10" s="1318"/>
      <c r="G10" s="1318"/>
      <c r="H10" s="1251">
        <f>+'WP1 - O&amp;M detail'!H33*0.5</f>
        <v>0</v>
      </c>
      <c r="I10" s="1233">
        <f>+D10+E10+H10</f>
        <v>161267</v>
      </c>
      <c r="J10" s="1286"/>
      <c r="K10" s="1286"/>
    </row>
    <row r="11" spans="1:18">
      <c r="A11" s="1232">
        <f t="shared" ref="A11:A25" si="0">+A10+1</f>
        <v>2</v>
      </c>
      <c r="B11" s="1290"/>
      <c r="C11" s="1252"/>
      <c r="D11" s="1318"/>
      <c r="E11" s="1319"/>
      <c r="F11" s="1318"/>
      <c r="G11" s="1318"/>
      <c r="H11" s="1318"/>
      <c r="I11" s="1233">
        <f t="shared" ref="I11:I24" si="1">+D11+E11+H11</f>
        <v>0</v>
      </c>
      <c r="J11" s="1286"/>
      <c r="K11" s="1286"/>
    </row>
    <row r="12" spans="1:18">
      <c r="A12" s="1232">
        <f t="shared" si="0"/>
        <v>3</v>
      </c>
      <c r="B12" s="1290"/>
      <c r="C12" s="1252"/>
      <c r="D12" s="1318"/>
      <c r="E12" s="1319"/>
      <c r="F12" s="1318"/>
      <c r="G12" s="1318"/>
      <c r="H12" s="1318"/>
      <c r="I12" s="1233">
        <f t="shared" si="1"/>
        <v>0</v>
      </c>
      <c r="J12" s="1286"/>
      <c r="K12" s="1286"/>
    </row>
    <row r="13" spans="1:18">
      <c r="A13" s="1232">
        <f t="shared" si="0"/>
        <v>4</v>
      </c>
      <c r="B13" s="1290"/>
      <c r="C13" s="1252"/>
      <c r="D13" s="1318"/>
      <c r="E13" s="1319"/>
      <c r="F13" s="1318"/>
      <c r="G13" s="1318"/>
      <c r="H13" s="1318"/>
      <c r="I13" s="1233">
        <f t="shared" si="1"/>
        <v>0</v>
      </c>
      <c r="J13" s="1286"/>
      <c r="K13" s="1286"/>
    </row>
    <row r="14" spans="1:18">
      <c r="A14" s="1232">
        <f t="shared" si="0"/>
        <v>5</v>
      </c>
      <c r="B14" s="1290"/>
      <c r="C14" s="1252"/>
      <c r="D14" s="1318"/>
      <c r="E14" s="1319"/>
      <c r="F14" s="1318"/>
      <c r="G14" s="1318"/>
      <c r="H14" s="1318"/>
      <c r="I14" s="1233">
        <f t="shared" si="1"/>
        <v>0</v>
      </c>
      <c r="J14" s="1286"/>
      <c r="K14" s="1286"/>
    </row>
    <row r="15" spans="1:18">
      <c r="A15" s="1232">
        <f t="shared" si="0"/>
        <v>6</v>
      </c>
      <c r="B15" s="1290"/>
      <c r="C15" s="1252"/>
      <c r="D15" s="1318"/>
      <c r="E15" s="1319"/>
      <c r="F15" s="1318"/>
      <c r="G15" s="1318"/>
      <c r="H15" s="1318"/>
      <c r="I15" s="1233">
        <f t="shared" si="1"/>
        <v>0</v>
      </c>
      <c r="J15" s="1286"/>
      <c r="K15" s="1286"/>
    </row>
    <row r="16" spans="1:18">
      <c r="A16" s="1232">
        <f t="shared" si="0"/>
        <v>7</v>
      </c>
      <c r="B16" s="1290"/>
      <c r="C16" s="1252"/>
      <c r="D16" s="1318"/>
      <c r="E16" s="1319"/>
      <c r="F16" s="1318"/>
      <c r="G16" s="1318"/>
      <c r="H16" s="1318"/>
      <c r="I16" s="1233">
        <f t="shared" si="1"/>
        <v>0</v>
      </c>
      <c r="J16" s="1286"/>
      <c r="K16" s="1286"/>
    </row>
    <row r="17" spans="1:11">
      <c r="A17" s="1232">
        <f t="shared" si="0"/>
        <v>8</v>
      </c>
      <c r="B17" s="1290"/>
      <c r="C17" s="1252"/>
      <c r="D17" s="1318"/>
      <c r="E17" s="1319"/>
      <c r="F17" s="1318"/>
      <c r="G17" s="1318"/>
      <c r="H17" s="1318"/>
      <c r="I17" s="1233">
        <f t="shared" si="1"/>
        <v>0</v>
      </c>
      <c r="J17" s="1286"/>
      <c r="K17" s="1286"/>
    </row>
    <row r="18" spans="1:11">
      <c r="A18" s="1232">
        <f t="shared" si="0"/>
        <v>9</v>
      </c>
      <c r="B18" s="1290"/>
      <c r="C18" s="1252"/>
      <c r="D18" s="1318"/>
      <c r="E18" s="1319"/>
      <c r="F18" s="1318"/>
      <c r="G18" s="1318"/>
      <c r="H18" s="1318"/>
      <c r="I18" s="1233">
        <f t="shared" si="1"/>
        <v>0</v>
      </c>
      <c r="J18" s="1286"/>
      <c r="K18" s="1286"/>
    </row>
    <row r="19" spans="1:11">
      <c r="A19" s="1232">
        <f t="shared" si="0"/>
        <v>10</v>
      </c>
      <c r="B19" s="1290"/>
      <c r="C19" s="1252"/>
      <c r="D19" s="1318"/>
      <c r="E19" s="1319"/>
      <c r="F19" s="1318"/>
      <c r="G19" s="1318"/>
      <c r="H19" s="1318"/>
      <c r="I19" s="1233">
        <f t="shared" si="1"/>
        <v>0</v>
      </c>
      <c r="J19" s="1286"/>
      <c r="K19" s="1286"/>
    </row>
    <row r="20" spans="1:11">
      <c r="A20" s="1232">
        <f t="shared" si="0"/>
        <v>11</v>
      </c>
      <c r="B20" s="1290"/>
      <c r="C20" s="1252"/>
      <c r="D20" s="1318"/>
      <c r="E20" s="1319"/>
      <c r="F20" s="1318"/>
      <c r="G20" s="1318"/>
      <c r="H20" s="1318"/>
      <c r="I20" s="1233">
        <f t="shared" si="1"/>
        <v>0</v>
      </c>
      <c r="J20" s="1286"/>
      <c r="K20" s="1286"/>
    </row>
    <row r="21" spans="1:11">
      <c r="A21" s="1232">
        <f t="shared" si="0"/>
        <v>12</v>
      </c>
      <c r="B21" s="1290"/>
      <c r="C21" s="1252"/>
      <c r="D21" s="1318"/>
      <c r="E21" s="1319"/>
      <c r="F21" s="1318"/>
      <c r="G21" s="1318"/>
      <c r="H21" s="1318"/>
      <c r="I21" s="1233">
        <f t="shared" si="1"/>
        <v>0</v>
      </c>
      <c r="J21" s="1286"/>
      <c r="K21" s="1286"/>
    </row>
    <row r="22" spans="1:11">
      <c r="A22" s="1232">
        <f t="shared" si="0"/>
        <v>13</v>
      </c>
      <c r="B22" s="1290"/>
      <c r="C22" s="1252"/>
      <c r="D22" s="1318"/>
      <c r="E22" s="1319"/>
      <c r="F22" s="1318"/>
      <c r="G22" s="1318"/>
      <c r="H22" s="1318"/>
      <c r="I22" s="1233">
        <f t="shared" si="1"/>
        <v>0</v>
      </c>
      <c r="J22" s="1286"/>
      <c r="K22" s="1286"/>
    </row>
    <row r="23" spans="1:11">
      <c r="A23" s="1232">
        <f t="shared" si="0"/>
        <v>14</v>
      </c>
      <c r="B23" s="1290"/>
      <c r="C23" s="1252"/>
      <c r="D23" s="1318"/>
      <c r="E23" s="1319"/>
      <c r="F23" s="1318"/>
      <c r="G23" s="1318"/>
      <c r="H23" s="1318"/>
      <c r="I23" s="1233">
        <f t="shared" si="1"/>
        <v>0</v>
      </c>
      <c r="J23" s="1286"/>
      <c r="K23" s="1286"/>
    </row>
    <row r="24" spans="1:11">
      <c r="A24" s="1232">
        <f t="shared" si="0"/>
        <v>15</v>
      </c>
      <c r="B24" s="1290"/>
      <c r="C24" s="1252"/>
      <c r="D24" s="1318"/>
      <c r="E24" s="1319"/>
      <c r="F24" s="1318"/>
      <c r="G24" s="1318"/>
      <c r="H24" s="1318"/>
      <c r="I24" s="1233">
        <f t="shared" si="1"/>
        <v>0</v>
      </c>
      <c r="J24" s="1286"/>
      <c r="K24" s="1286"/>
    </row>
    <row r="25" spans="1:11">
      <c r="A25" s="1232">
        <f t="shared" si="0"/>
        <v>16</v>
      </c>
      <c r="B25" s="1301" t="s">
        <v>20</v>
      </c>
      <c r="C25" s="1301"/>
      <c r="D25" s="1321"/>
      <c r="E25" s="1321"/>
      <c r="F25" s="1321"/>
      <c r="G25" s="1320"/>
      <c r="H25" s="1320"/>
      <c r="I25" s="1320">
        <f>SUM(I10:I24)</f>
        <v>161267</v>
      </c>
      <c r="J25" s="1286"/>
      <c r="K25" s="1286"/>
    </row>
    <row r="26" spans="1:11">
      <c r="A26" s="1282"/>
      <c r="B26" s="1282" t="s">
        <v>7</v>
      </c>
      <c r="C26" s="1282"/>
      <c r="D26" s="1282"/>
      <c r="E26" s="1282"/>
      <c r="F26" s="1282"/>
      <c r="G26" s="1282"/>
      <c r="H26" s="1286"/>
      <c r="I26" s="1320"/>
      <c r="J26" s="1286"/>
      <c r="K26" s="1286"/>
    </row>
    <row r="27" spans="1:11">
      <c r="A27" s="1325" t="s">
        <v>828</v>
      </c>
      <c r="B27" s="1295"/>
      <c r="C27" s="1295"/>
      <c r="D27" s="1282"/>
      <c r="E27" s="1282"/>
      <c r="F27" s="1282"/>
      <c r="G27" s="1282"/>
      <c r="H27" s="1286"/>
      <c r="I27" s="1320"/>
      <c r="J27" s="1286"/>
      <c r="K27" s="1286"/>
    </row>
    <row r="28" spans="1:11">
      <c r="A28" s="1282"/>
      <c r="B28" s="1282"/>
      <c r="C28" s="1282"/>
      <c r="D28" s="1282"/>
      <c r="E28" s="1282"/>
      <c r="F28" s="1282"/>
      <c r="G28" s="1282"/>
      <c r="H28" s="1286"/>
      <c r="I28" s="1320"/>
      <c r="J28" s="1286"/>
      <c r="K28" s="1286"/>
    </row>
    <row r="29" spans="1:11">
      <c r="A29" s="1282" t="s">
        <v>659</v>
      </c>
      <c r="B29" s="1282" t="s">
        <v>660</v>
      </c>
      <c r="C29" s="1282" t="s">
        <v>661</v>
      </c>
      <c r="D29" s="1282" t="s">
        <v>663</v>
      </c>
      <c r="E29" s="1282" t="s">
        <v>662</v>
      </c>
      <c r="F29" s="1286" t="s">
        <v>765</v>
      </c>
      <c r="G29" s="1286" t="s">
        <v>766</v>
      </c>
      <c r="H29" s="1282" t="s">
        <v>767</v>
      </c>
      <c r="I29" s="1320" t="s">
        <v>20</v>
      </c>
      <c r="J29" s="1286"/>
      <c r="K29" s="1286"/>
    </row>
    <row r="30" spans="1:11">
      <c r="A30" s="1291"/>
      <c r="B30" s="1282"/>
      <c r="C30" s="1282"/>
      <c r="D30" s="1282"/>
      <c r="E30" s="1282"/>
      <c r="F30" s="1286"/>
      <c r="G30" s="1282"/>
      <c r="H30" s="1288"/>
      <c r="I30" s="1231"/>
      <c r="J30" s="1286"/>
      <c r="K30" s="1286"/>
    </row>
    <row r="31" spans="1:11">
      <c r="A31" s="1232">
        <f>+A25+1</f>
        <v>17</v>
      </c>
      <c r="B31" s="1233" t="s">
        <v>797</v>
      </c>
      <c r="C31" s="1235">
        <v>920</v>
      </c>
      <c r="D31" s="1251"/>
      <c r="E31" s="1251"/>
      <c r="F31" s="1251"/>
      <c r="G31" s="1318"/>
      <c r="H31" s="1251"/>
      <c r="I31" s="1233">
        <f>+D31+E31+F31+H31</f>
        <v>0</v>
      </c>
      <c r="J31" s="1286"/>
      <c r="K31" s="1286"/>
    </row>
    <row r="32" spans="1:11">
      <c r="A32" s="1232">
        <f t="shared" ref="A32:A46" si="2">+A31+1</f>
        <v>18</v>
      </c>
      <c r="B32" s="1295" t="s">
        <v>798</v>
      </c>
      <c r="C32" s="1235">
        <v>921</v>
      </c>
      <c r="D32" s="1318"/>
      <c r="E32" s="1318"/>
      <c r="F32" s="1318"/>
      <c r="G32" s="1318"/>
      <c r="H32" s="1251"/>
      <c r="I32" s="1233">
        <f t="shared" ref="I32:I45" si="3">+D32+E32+F32+H32</f>
        <v>0</v>
      </c>
      <c r="J32" s="1286"/>
      <c r="K32" s="1286"/>
    </row>
    <row r="33" spans="1:11">
      <c r="A33" s="1232">
        <f t="shared" si="2"/>
        <v>19</v>
      </c>
      <c r="B33" s="1295" t="s">
        <v>799</v>
      </c>
      <c r="C33" s="1235">
        <v>922</v>
      </c>
      <c r="D33" s="1318"/>
      <c r="E33" s="1318"/>
      <c r="F33" s="1318"/>
      <c r="G33" s="1318"/>
      <c r="H33" s="1251"/>
      <c r="I33" s="1233">
        <f t="shared" si="3"/>
        <v>0</v>
      </c>
      <c r="J33" s="1286"/>
      <c r="K33" s="1286"/>
    </row>
    <row r="34" spans="1:11">
      <c r="A34" s="1232">
        <f t="shared" si="2"/>
        <v>20</v>
      </c>
      <c r="B34" s="1295" t="s">
        <v>800</v>
      </c>
      <c r="C34" s="1235">
        <v>923</v>
      </c>
      <c r="D34" s="1318"/>
      <c r="E34" s="1318">
        <v>161267</v>
      </c>
      <c r="F34" s="1318"/>
      <c r="G34" s="1318"/>
      <c r="H34" s="1251"/>
      <c r="I34" s="1233">
        <f t="shared" si="3"/>
        <v>161267</v>
      </c>
      <c r="J34" s="1286"/>
      <c r="K34" s="1286"/>
    </row>
    <row r="35" spans="1:11">
      <c r="A35" s="1232">
        <f t="shared" si="2"/>
        <v>21</v>
      </c>
      <c r="B35" s="1295" t="s">
        <v>801</v>
      </c>
      <c r="C35" s="1235">
        <v>924</v>
      </c>
      <c r="D35" s="1318"/>
      <c r="E35" s="1318"/>
      <c r="F35" s="1318"/>
      <c r="G35" s="1318"/>
      <c r="H35" s="1251"/>
      <c r="I35" s="1233">
        <f t="shared" si="3"/>
        <v>0</v>
      </c>
      <c r="J35" s="1286"/>
      <c r="K35" s="1286"/>
    </row>
    <row r="36" spans="1:11">
      <c r="A36" s="1232">
        <f t="shared" si="2"/>
        <v>22</v>
      </c>
      <c r="B36" s="1295" t="s">
        <v>802</v>
      </c>
      <c r="C36" s="1235">
        <v>925</v>
      </c>
      <c r="D36" s="1318"/>
      <c r="E36" s="1318"/>
      <c r="F36" s="1318"/>
      <c r="G36" s="1318"/>
      <c r="H36" s="1251"/>
      <c r="I36" s="1233">
        <f t="shared" si="3"/>
        <v>0</v>
      </c>
      <c r="J36" s="1286"/>
      <c r="K36" s="1286"/>
    </row>
    <row r="37" spans="1:11">
      <c r="A37" s="1232">
        <f t="shared" si="2"/>
        <v>23</v>
      </c>
      <c r="B37" s="1295" t="s">
        <v>803</v>
      </c>
      <c r="C37" s="1235">
        <v>926</v>
      </c>
      <c r="D37" s="1318"/>
      <c r="E37" s="1318"/>
      <c r="F37" s="1318"/>
      <c r="G37" s="1318"/>
      <c r="H37" s="1251"/>
      <c r="I37" s="1233">
        <f t="shared" si="3"/>
        <v>0</v>
      </c>
      <c r="J37" s="1286"/>
      <c r="K37" s="1286"/>
    </row>
    <row r="38" spans="1:11">
      <c r="A38" s="1232">
        <f t="shared" si="2"/>
        <v>24</v>
      </c>
      <c r="B38" s="1295" t="s">
        <v>804</v>
      </c>
      <c r="C38" s="1235">
        <v>927</v>
      </c>
      <c r="D38" s="1318"/>
      <c r="E38" s="1318"/>
      <c r="F38" s="1318"/>
      <c r="G38" s="1318"/>
      <c r="H38" s="1251"/>
      <c r="I38" s="1233">
        <f t="shared" si="3"/>
        <v>0</v>
      </c>
      <c r="J38" s="1286"/>
      <c r="K38" s="1286"/>
    </row>
    <row r="39" spans="1:11">
      <c r="A39" s="1232">
        <f t="shared" si="2"/>
        <v>25</v>
      </c>
      <c r="B39" s="1295" t="s">
        <v>805</v>
      </c>
      <c r="C39" s="1235">
        <v>928</v>
      </c>
      <c r="D39" s="1318"/>
      <c r="E39" s="1318"/>
      <c r="F39" s="1318"/>
      <c r="G39" s="1318"/>
      <c r="H39" s="1251"/>
      <c r="I39" s="1233">
        <f t="shared" si="3"/>
        <v>0</v>
      </c>
      <c r="J39" s="1286"/>
      <c r="K39" s="1286"/>
    </row>
    <row r="40" spans="1:11">
      <c r="A40" s="1232">
        <f t="shared" si="2"/>
        <v>26</v>
      </c>
      <c r="B40" s="1295" t="s">
        <v>806</v>
      </c>
      <c r="C40" s="1235">
        <v>929</v>
      </c>
      <c r="D40" s="1318"/>
      <c r="E40" s="1318"/>
      <c r="F40" s="1318"/>
      <c r="G40" s="1318"/>
      <c r="H40" s="1251"/>
      <c r="I40" s="1233">
        <f t="shared" si="3"/>
        <v>0</v>
      </c>
      <c r="J40" s="1286"/>
      <c r="K40" s="1286"/>
    </row>
    <row r="41" spans="1:11">
      <c r="A41" s="1232">
        <f t="shared" si="2"/>
        <v>27</v>
      </c>
      <c r="B41" s="1295" t="s">
        <v>807</v>
      </c>
      <c r="C41" s="1235">
        <v>930.1</v>
      </c>
      <c r="D41" s="1318"/>
      <c r="E41" s="1318"/>
      <c r="F41" s="1318"/>
      <c r="G41" s="1318"/>
      <c r="H41" s="1251"/>
      <c r="I41" s="1233">
        <f t="shared" si="3"/>
        <v>0</v>
      </c>
      <c r="J41" s="1286"/>
      <c r="K41" s="1286"/>
    </row>
    <row r="42" spans="1:11">
      <c r="A42" s="1232">
        <f t="shared" si="2"/>
        <v>28</v>
      </c>
      <c r="B42" s="1295" t="s">
        <v>808</v>
      </c>
      <c r="C42" s="1235">
        <v>930.2</v>
      </c>
      <c r="D42" s="1318"/>
      <c r="E42" s="1318"/>
      <c r="F42" s="1318"/>
      <c r="G42" s="1318"/>
      <c r="H42" s="1251"/>
      <c r="I42" s="1233">
        <f t="shared" si="3"/>
        <v>0</v>
      </c>
      <c r="J42" s="1286"/>
      <c r="K42" s="1286"/>
    </row>
    <row r="43" spans="1:11">
      <c r="A43" s="1232">
        <f t="shared" si="2"/>
        <v>29</v>
      </c>
      <c r="B43" s="1295" t="s">
        <v>809</v>
      </c>
      <c r="C43" s="1235">
        <v>931</v>
      </c>
      <c r="D43" s="1318"/>
      <c r="E43" s="1318"/>
      <c r="F43" s="1318"/>
      <c r="G43" s="1318"/>
      <c r="H43" s="1251"/>
      <c r="I43" s="1233">
        <f t="shared" si="3"/>
        <v>0</v>
      </c>
      <c r="J43" s="1286"/>
      <c r="K43" s="1286"/>
    </row>
    <row r="44" spans="1:11">
      <c r="A44" s="1232">
        <f t="shared" si="2"/>
        <v>30</v>
      </c>
      <c r="B44" s="1295" t="s">
        <v>810</v>
      </c>
      <c r="C44" s="1235">
        <v>933</v>
      </c>
      <c r="D44" s="1318"/>
      <c r="E44" s="1318"/>
      <c r="F44" s="1318"/>
      <c r="G44" s="1318"/>
      <c r="H44" s="1251"/>
      <c r="I44" s="1233">
        <f t="shared" si="3"/>
        <v>0</v>
      </c>
      <c r="J44" s="1286"/>
      <c r="K44" s="1286"/>
    </row>
    <row r="45" spans="1:11">
      <c r="A45" s="1232">
        <f t="shared" si="2"/>
        <v>31</v>
      </c>
      <c r="B45" s="1295" t="s">
        <v>811</v>
      </c>
      <c r="C45" s="1235">
        <v>935</v>
      </c>
      <c r="D45" s="1318"/>
      <c r="E45" s="1318"/>
      <c r="F45" s="1318"/>
      <c r="G45" s="1318"/>
      <c r="H45" s="1251"/>
      <c r="I45" s="1233">
        <f t="shared" si="3"/>
        <v>0</v>
      </c>
      <c r="J45" s="1286"/>
      <c r="K45" s="1286"/>
    </row>
    <row r="46" spans="1:11">
      <c r="A46" s="1232">
        <f t="shared" si="2"/>
        <v>32</v>
      </c>
      <c r="B46" s="1295" t="s">
        <v>20</v>
      </c>
      <c r="C46" s="1295"/>
      <c r="D46" s="1320">
        <f>SUM(D31:D45)</f>
        <v>0</v>
      </c>
      <c r="E46" s="1320">
        <f>SUM(E31:E45)</f>
        <v>161267</v>
      </c>
      <c r="F46" s="1320">
        <f>SUM(F31:F45)</f>
        <v>0</v>
      </c>
      <c r="G46" s="1321"/>
      <c r="H46" s="1320">
        <f>SUM(H31:H45)</f>
        <v>0</v>
      </c>
      <c r="I46" s="1320">
        <f>SUM(I31:I45)</f>
        <v>161267</v>
      </c>
      <c r="J46" s="1286"/>
      <c r="K46" s="1286"/>
    </row>
    <row r="47" spans="1:11">
      <c r="A47" s="1232"/>
      <c r="B47" s="1295"/>
      <c r="C47" s="1295"/>
      <c r="D47" s="1295"/>
      <c r="E47" s="1295"/>
      <c r="F47" s="1295"/>
      <c r="G47" s="1295"/>
      <c r="H47" s="1286"/>
      <c r="I47" s="1320"/>
      <c r="J47" s="1286"/>
      <c r="K47" s="1286"/>
    </row>
    <row r="48" spans="1:11">
      <c r="A48" s="1232"/>
      <c r="B48" s="1774" t="s">
        <v>796</v>
      </c>
      <c r="C48" s="1774"/>
      <c r="D48" s="1774"/>
      <c r="E48" s="1774"/>
      <c r="F48" s="1295"/>
      <c r="G48" s="1295"/>
      <c r="H48" s="1286"/>
      <c r="I48" s="1320"/>
      <c r="J48" s="1286"/>
      <c r="K48" s="1286"/>
    </row>
    <row r="49" spans="1:11">
      <c r="A49" s="1232"/>
      <c r="B49" s="1295"/>
      <c r="C49" s="1295"/>
      <c r="D49" s="1295"/>
      <c r="E49" s="1295"/>
      <c r="F49" s="1295"/>
      <c r="G49" s="1295"/>
      <c r="H49" s="1286"/>
      <c r="I49" s="1320"/>
      <c r="J49" s="1286"/>
      <c r="K49" s="1286"/>
    </row>
    <row r="50" spans="1:11">
      <c r="A50" s="1232"/>
      <c r="B50" s="1295"/>
      <c r="C50" s="1295"/>
      <c r="D50" s="1295"/>
      <c r="E50" s="1295"/>
      <c r="F50" s="1295"/>
      <c r="G50" s="1295"/>
      <c r="H50" s="1286"/>
      <c r="I50" s="1320"/>
      <c r="J50" s="1286"/>
      <c r="K50" s="1286"/>
    </row>
    <row r="51" spans="1:11">
      <c r="A51" s="1282"/>
      <c r="B51" s="1295"/>
      <c r="C51" s="1295"/>
      <c r="D51" s="1295"/>
      <c r="E51" s="1295"/>
      <c r="F51" s="1295"/>
      <c r="G51" s="1295"/>
      <c r="H51" s="1286"/>
      <c r="I51" s="1320"/>
      <c r="J51" s="1286"/>
      <c r="K51" s="1286"/>
    </row>
    <row r="52" spans="1:11">
      <c r="A52" s="1282"/>
      <c r="F52" s="1282"/>
      <c r="G52" s="1282"/>
      <c r="H52" s="1286"/>
      <c r="I52" s="1320"/>
      <c r="J52" s="1286"/>
      <c r="K52" s="1286"/>
    </row>
    <row r="53" spans="1:11">
      <c r="A53" s="1286"/>
      <c r="B53" s="1302"/>
      <c r="C53" s="1301"/>
      <c r="D53" s="1301"/>
      <c r="E53" s="1301"/>
      <c r="F53" s="1286"/>
      <c r="G53" s="1286"/>
      <c r="H53" s="1286"/>
      <c r="I53" s="1320"/>
      <c r="J53" s="1286"/>
      <c r="K53" s="1286"/>
    </row>
    <row r="54" spans="1:11">
      <c r="A54" s="1286"/>
      <c r="B54" s="1302"/>
      <c r="C54" s="1301"/>
      <c r="D54" s="1301"/>
      <c r="E54" s="1301"/>
      <c r="F54" s="1286"/>
      <c r="G54" s="1286"/>
      <c r="H54" s="1286"/>
      <c r="I54" s="1320"/>
      <c r="J54" s="1286"/>
      <c r="K54" s="1286"/>
    </row>
    <row r="55" spans="1:11">
      <c r="A55" s="1286"/>
      <c r="B55" s="1301"/>
      <c r="C55" s="1301"/>
      <c r="D55" s="1301"/>
      <c r="E55" s="1301"/>
      <c r="F55" s="1286"/>
      <c r="G55" s="1286"/>
      <c r="H55" s="1286"/>
      <c r="I55" s="1320"/>
      <c r="J55" s="1286"/>
      <c r="K55" s="1286"/>
    </row>
    <row r="56" spans="1:11">
      <c r="A56" s="1286"/>
      <c r="B56" s="1286"/>
      <c r="C56" s="1286"/>
      <c r="D56" s="1286"/>
      <c r="E56" s="1286"/>
      <c r="F56" s="1286"/>
      <c r="G56" s="1286"/>
      <c r="H56" s="1286"/>
      <c r="I56" s="1320"/>
      <c r="J56" s="1286"/>
      <c r="K56" s="1286"/>
    </row>
    <row r="57" spans="1:11">
      <c r="A57" s="1286"/>
      <c r="B57" s="1286"/>
      <c r="C57" s="1286"/>
      <c r="D57" s="1286"/>
      <c r="E57" s="1286"/>
      <c r="F57" s="1286"/>
      <c r="G57" s="1286"/>
      <c r="H57" s="1286"/>
      <c r="I57" s="1320"/>
      <c r="J57" s="1286"/>
      <c r="K57" s="1286"/>
    </row>
    <row r="58" spans="1:11">
      <c r="A58" s="1286"/>
      <c r="B58" s="1286"/>
      <c r="C58" s="1286"/>
      <c r="D58" s="1286"/>
      <c r="E58" s="1286"/>
      <c r="F58" s="1286"/>
      <c r="G58" s="1286"/>
      <c r="H58" s="1286"/>
      <c r="I58" s="1320"/>
      <c r="J58" s="1286"/>
      <c r="K58" s="1286"/>
    </row>
    <row r="59" spans="1:11">
      <c r="A59" s="1286"/>
      <c r="B59" s="1286"/>
      <c r="C59" s="1286"/>
      <c r="D59" s="1286"/>
      <c r="E59" s="1286"/>
      <c r="F59" s="1286"/>
      <c r="G59" s="1286"/>
      <c r="H59" s="1286"/>
      <c r="I59" s="1320"/>
      <c r="J59" s="1286"/>
      <c r="K59" s="1286"/>
    </row>
    <row r="60" spans="1:11">
      <c r="A60" s="1286"/>
      <c r="B60" s="1286"/>
      <c r="C60" s="1286"/>
      <c r="D60" s="1286"/>
      <c r="E60" s="1286"/>
      <c r="F60" s="1286"/>
      <c r="G60" s="1286"/>
      <c r="H60" s="1286"/>
      <c r="I60" s="1320"/>
      <c r="J60" s="1286"/>
      <c r="K60" s="1286"/>
    </row>
    <row r="61" spans="1:11">
      <c r="A61" s="1286"/>
      <c r="B61" s="1286"/>
      <c r="C61" s="1286"/>
      <c r="D61" s="1286"/>
      <c r="E61" s="1286"/>
      <c r="F61" s="1286"/>
      <c r="G61" s="1286"/>
      <c r="H61" s="1286"/>
      <c r="I61" s="1320"/>
      <c r="J61" s="1286"/>
      <c r="K61" s="1286"/>
    </row>
  </sheetData>
  <mergeCells count="3">
    <mergeCell ref="A1:G1"/>
    <mergeCell ref="A2:G2"/>
    <mergeCell ref="B48:E48"/>
  </mergeCells>
  <pageMargins left="0.7" right="0.7" top="0.75" bottom="0.75" header="0.3" footer="0.3"/>
  <pageSetup paperSize="5" scale="8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O86"/>
  <sheetViews>
    <sheetView view="pageBreakPreview" zoomScale="90" zoomScaleNormal="100" zoomScaleSheetLayoutView="90" workbookViewId="0">
      <selection activeCell="G6" sqref="G6"/>
    </sheetView>
  </sheetViews>
  <sheetFormatPr defaultColWidth="8.88671875" defaultRowHeight="16.5"/>
  <cols>
    <col min="1" max="1" width="4.21875" style="1333" customWidth="1"/>
    <col min="2" max="2" width="16" style="1332" customWidth="1"/>
    <col min="3" max="3" width="9.33203125" style="1332" bestFit="1" customWidth="1"/>
    <col min="4" max="4" width="12.6640625" style="1332" customWidth="1"/>
    <col min="5" max="5" width="10.21875" style="1332" customWidth="1"/>
    <col min="6" max="6" width="8.21875" style="1332" customWidth="1"/>
    <col min="7" max="7" width="11" style="1332" customWidth="1"/>
    <col min="8" max="10" width="8.88671875" style="1332"/>
    <col min="11" max="11" width="9.44140625" style="1332" customWidth="1"/>
    <col min="12" max="14" width="8.88671875" style="1332"/>
    <col min="15" max="16384" width="8.88671875" style="1278"/>
  </cols>
  <sheetData>
    <row r="1" spans="1:15">
      <c r="A1" s="1775" t="s">
        <v>1028</v>
      </c>
      <c r="B1" s="1775"/>
      <c r="C1" s="1775"/>
      <c r="D1" s="1775"/>
      <c r="E1" s="1775"/>
      <c r="F1" s="1775"/>
      <c r="G1" s="1775"/>
      <c r="H1" s="1775"/>
      <c r="I1" s="1775"/>
      <c r="J1" s="1775"/>
      <c r="K1" s="1775"/>
      <c r="L1" s="1775"/>
      <c r="M1" s="1775"/>
    </row>
    <row r="2" spans="1:15">
      <c r="A2" s="1775" t="s">
        <v>958</v>
      </c>
      <c r="B2" s="1775"/>
      <c r="C2" s="1775"/>
      <c r="D2" s="1775"/>
      <c r="E2" s="1775"/>
      <c r="F2" s="1775"/>
      <c r="G2" s="1775"/>
      <c r="H2" s="1775"/>
      <c r="I2" s="1775"/>
      <c r="J2" s="1775"/>
      <c r="K2" s="1775"/>
      <c r="L2" s="1775"/>
      <c r="M2" s="1775"/>
    </row>
    <row r="5" spans="1:15">
      <c r="F5" s="1334"/>
      <c r="G5" s="1284" t="s">
        <v>1079</v>
      </c>
      <c r="H5" s="1335"/>
      <c r="O5" s="1286"/>
    </row>
    <row r="6" spans="1:15">
      <c r="B6" s="1336"/>
      <c r="C6" s="1336"/>
      <c r="D6" s="1337"/>
      <c r="E6" s="1337"/>
      <c r="F6" s="1337"/>
      <c r="G6" s="1498"/>
      <c r="H6" s="1338"/>
      <c r="I6" s="1337"/>
      <c r="J6" s="1337"/>
      <c r="K6" s="1337"/>
      <c r="L6" s="1337"/>
      <c r="M6" s="1337"/>
      <c r="O6" s="1286"/>
    </row>
    <row r="7" spans="1:15">
      <c r="A7" s="1776" t="s">
        <v>829</v>
      </c>
      <c r="B7" s="1776"/>
      <c r="C7" s="1776"/>
      <c r="D7" s="1339"/>
      <c r="E7" s="1339"/>
      <c r="F7" s="1339"/>
      <c r="G7" s="1339"/>
      <c r="H7" s="1339"/>
      <c r="I7" s="1339"/>
      <c r="J7" s="1339"/>
      <c r="K7" s="1339"/>
      <c r="L7" s="1339"/>
      <c r="M7" s="1339"/>
      <c r="N7" s="1340"/>
      <c r="O7" s="1286"/>
    </row>
    <row r="8" spans="1:15">
      <c r="A8" s="1333" t="s">
        <v>659</v>
      </c>
      <c r="B8" s="1336"/>
      <c r="C8" s="1336"/>
      <c r="D8" s="1341" t="s">
        <v>927</v>
      </c>
      <c r="E8" s="1341" t="s">
        <v>598</v>
      </c>
      <c r="F8" s="1341" t="s">
        <v>598</v>
      </c>
      <c r="G8" s="1342" t="s">
        <v>20</v>
      </c>
      <c r="H8" s="1343"/>
      <c r="I8" s="1343"/>
      <c r="J8" s="1343"/>
      <c r="K8" s="1343"/>
      <c r="L8" s="1343"/>
      <c r="M8" s="1343"/>
      <c r="N8" s="1344"/>
      <c r="O8" s="1286"/>
    </row>
    <row r="9" spans="1:15">
      <c r="B9" s="1307" t="s">
        <v>814</v>
      </c>
      <c r="C9" s="1307"/>
      <c r="D9" s="1307"/>
      <c r="E9" s="1307"/>
      <c r="F9" s="1307"/>
      <c r="G9" s="1343"/>
      <c r="H9" s="1343"/>
      <c r="I9" s="1343"/>
      <c r="J9" s="1343"/>
      <c r="K9" s="1343"/>
      <c r="L9" s="1343"/>
      <c r="M9" s="1343"/>
      <c r="N9" s="1344"/>
      <c r="O9" s="1286"/>
    </row>
    <row r="10" spans="1:15">
      <c r="A10" s="1333">
        <v>1</v>
      </c>
      <c r="B10" s="1345" t="s">
        <v>924</v>
      </c>
      <c r="C10" s="1345"/>
      <c r="D10" s="1345"/>
      <c r="E10" s="1345"/>
      <c r="F10" s="1345"/>
      <c r="G10" s="1081">
        <f>+D10+E10+F10</f>
        <v>0</v>
      </c>
      <c r="H10" s="1343"/>
      <c r="I10" s="1343"/>
      <c r="J10" s="1343"/>
      <c r="K10" s="1343"/>
      <c r="L10" s="1343"/>
      <c r="M10" s="1343"/>
      <c r="N10" s="1344"/>
      <c r="O10" s="1286"/>
    </row>
    <row r="11" spans="1:15">
      <c r="A11" s="1333" t="s">
        <v>312</v>
      </c>
      <c r="B11" s="1345" t="s">
        <v>925</v>
      </c>
      <c r="C11" s="1346"/>
      <c r="D11" s="1347"/>
      <c r="E11" s="1347"/>
      <c r="F11" s="1347"/>
      <c r="G11" s="1081">
        <f t="shared" ref="G11:G25" si="0">+D11+E11+F11</f>
        <v>0</v>
      </c>
      <c r="H11" s="1339"/>
      <c r="I11" s="1339"/>
      <c r="J11" s="1339"/>
      <c r="K11" s="1339"/>
      <c r="L11" s="1339"/>
      <c r="M11" s="1343"/>
      <c r="N11" s="1348"/>
      <c r="O11" s="1286"/>
    </row>
    <row r="12" spans="1:15">
      <c r="A12" s="1333" t="s">
        <v>879</v>
      </c>
      <c r="B12" s="1345" t="s">
        <v>926</v>
      </c>
      <c r="C12" s="1349"/>
      <c r="D12" s="1350"/>
      <c r="E12" s="1350"/>
      <c r="F12" s="1350"/>
      <c r="G12" s="1081">
        <f t="shared" si="0"/>
        <v>0</v>
      </c>
      <c r="H12" s="1351"/>
      <c r="I12" s="1351"/>
      <c r="J12" s="1351"/>
      <c r="K12" s="1351"/>
      <c r="L12" s="1351"/>
      <c r="M12" s="1343"/>
      <c r="N12" s="1348"/>
      <c r="O12" s="1286"/>
    </row>
    <row r="13" spans="1:15">
      <c r="A13" s="1333" t="s">
        <v>880</v>
      </c>
      <c r="B13" s="1345" t="s">
        <v>928</v>
      </c>
      <c r="C13" s="1349"/>
      <c r="D13" s="1345"/>
      <c r="E13" s="1345"/>
      <c r="F13" s="1345"/>
      <c r="G13" s="1081">
        <f t="shared" si="0"/>
        <v>0</v>
      </c>
      <c r="H13" s="1343"/>
      <c r="I13" s="1343"/>
      <c r="J13" s="1343"/>
      <c r="K13" s="1343"/>
      <c r="L13" s="1343"/>
      <c r="M13" s="1343"/>
      <c r="N13" s="1348"/>
      <c r="O13" s="1286"/>
    </row>
    <row r="14" spans="1:15">
      <c r="A14" s="1333" t="s">
        <v>380</v>
      </c>
      <c r="B14" s="1345" t="s">
        <v>929</v>
      </c>
      <c r="C14" s="1349"/>
      <c r="D14" s="1345"/>
      <c r="E14" s="1345"/>
      <c r="F14" s="1345"/>
      <c r="G14" s="1081">
        <f t="shared" si="0"/>
        <v>0</v>
      </c>
      <c r="H14" s="1343"/>
      <c r="I14" s="1343"/>
      <c r="J14" s="1343"/>
      <c r="K14" s="1343"/>
      <c r="L14" s="1343"/>
      <c r="M14" s="1343"/>
      <c r="N14" s="1348"/>
      <c r="O14" s="1286"/>
    </row>
    <row r="15" spans="1:15">
      <c r="A15" s="1333" t="s">
        <v>380</v>
      </c>
      <c r="B15" s="1345"/>
      <c r="C15" s="1349"/>
      <c r="D15" s="1345"/>
      <c r="E15" s="1345"/>
      <c r="F15" s="1345"/>
      <c r="G15" s="1081">
        <f t="shared" si="0"/>
        <v>0</v>
      </c>
      <c r="H15" s="1343"/>
      <c r="I15" s="1343"/>
      <c r="J15" s="1343"/>
      <c r="K15" s="1343"/>
      <c r="L15" s="1343"/>
      <c r="M15" s="1343"/>
      <c r="N15" s="1348"/>
      <c r="O15" s="1286"/>
    </row>
    <row r="16" spans="1:15">
      <c r="A16" s="1333" t="s">
        <v>380</v>
      </c>
      <c r="B16" s="1345"/>
      <c r="C16" s="1349"/>
      <c r="D16" s="1345"/>
      <c r="E16" s="1345"/>
      <c r="F16" s="1345"/>
      <c r="G16" s="1081">
        <f t="shared" si="0"/>
        <v>0</v>
      </c>
      <c r="H16" s="1343"/>
      <c r="I16" s="1343"/>
      <c r="J16" s="1343"/>
      <c r="K16" s="1343"/>
      <c r="L16" s="1343"/>
      <c r="M16" s="1343"/>
      <c r="N16" s="1348"/>
      <c r="O16" s="1286"/>
    </row>
    <row r="17" spans="1:15">
      <c r="A17" s="1333" t="s">
        <v>380</v>
      </c>
      <c r="B17" s="1345"/>
      <c r="C17" s="1349"/>
      <c r="D17" s="1345"/>
      <c r="E17" s="1345"/>
      <c r="F17" s="1345"/>
      <c r="G17" s="1081">
        <f t="shared" si="0"/>
        <v>0</v>
      </c>
      <c r="H17" s="1343"/>
      <c r="I17" s="1343"/>
      <c r="J17" s="1343"/>
      <c r="K17" s="1343"/>
      <c r="L17" s="1343"/>
      <c r="M17" s="1343"/>
      <c r="N17" s="1348"/>
      <c r="O17" s="1286"/>
    </row>
    <row r="18" spans="1:15">
      <c r="A18" s="1333" t="s">
        <v>380</v>
      </c>
      <c r="B18" s="1345"/>
      <c r="C18" s="1349"/>
      <c r="D18" s="1345"/>
      <c r="E18" s="1345"/>
      <c r="F18" s="1345"/>
      <c r="G18" s="1081">
        <f t="shared" si="0"/>
        <v>0</v>
      </c>
      <c r="H18" s="1343"/>
      <c r="I18" s="1343"/>
      <c r="J18" s="1343"/>
      <c r="K18" s="1343"/>
      <c r="L18" s="1343"/>
      <c r="M18" s="1343"/>
      <c r="N18" s="1348"/>
      <c r="O18" s="1286"/>
    </row>
    <row r="19" spans="1:15">
      <c r="A19" s="1333" t="s">
        <v>380</v>
      </c>
      <c r="B19" s="1345"/>
      <c r="C19" s="1349"/>
      <c r="D19" s="1345"/>
      <c r="E19" s="1345"/>
      <c r="F19" s="1345"/>
      <c r="G19" s="1081">
        <f t="shared" si="0"/>
        <v>0</v>
      </c>
      <c r="H19" s="1343"/>
      <c r="I19" s="1343"/>
      <c r="J19" s="1343"/>
      <c r="K19" s="1343"/>
      <c r="L19" s="1343"/>
      <c r="M19" s="1343"/>
      <c r="N19" s="1348"/>
      <c r="O19" s="1286"/>
    </row>
    <row r="20" spans="1:15">
      <c r="A20" s="1333" t="s">
        <v>380</v>
      </c>
      <c r="B20" s="1345"/>
      <c r="C20" s="1349"/>
      <c r="D20" s="1345"/>
      <c r="E20" s="1345"/>
      <c r="F20" s="1345"/>
      <c r="G20" s="1081">
        <f t="shared" si="0"/>
        <v>0</v>
      </c>
      <c r="H20" s="1343"/>
      <c r="I20" s="1343"/>
      <c r="J20" s="1343"/>
      <c r="K20" s="1343"/>
      <c r="L20" s="1343"/>
      <c r="M20" s="1343"/>
      <c r="N20" s="1348"/>
      <c r="O20" s="1286"/>
    </row>
    <row r="21" spans="1:15">
      <c r="A21" s="1333" t="s">
        <v>380</v>
      </c>
      <c r="B21" s="1345"/>
      <c r="C21" s="1349"/>
      <c r="D21" s="1345"/>
      <c r="E21" s="1345"/>
      <c r="F21" s="1345"/>
      <c r="G21" s="1081">
        <f t="shared" si="0"/>
        <v>0</v>
      </c>
      <c r="H21" s="1343"/>
      <c r="I21" s="1343"/>
      <c r="J21" s="1343"/>
      <c r="K21" s="1343"/>
      <c r="L21" s="1343"/>
      <c r="M21" s="1343"/>
      <c r="N21" s="1348"/>
      <c r="O21" s="1286"/>
    </row>
    <row r="22" spans="1:15">
      <c r="A22" s="1333" t="s">
        <v>380</v>
      </c>
      <c r="B22" s="1345"/>
      <c r="C22" s="1349"/>
      <c r="D22" s="1345"/>
      <c r="E22" s="1345"/>
      <c r="F22" s="1345"/>
      <c r="G22" s="1081">
        <f t="shared" si="0"/>
        <v>0</v>
      </c>
      <c r="H22" s="1343"/>
      <c r="I22" s="1343"/>
      <c r="J22" s="1343"/>
      <c r="K22" s="1343"/>
      <c r="L22" s="1343"/>
      <c r="M22" s="1343"/>
      <c r="N22" s="1348"/>
      <c r="O22" s="1286"/>
    </row>
    <row r="23" spans="1:15">
      <c r="A23" s="1333" t="s">
        <v>380</v>
      </c>
      <c r="B23" s="1345"/>
      <c r="C23" s="1349"/>
      <c r="D23" s="1345"/>
      <c r="E23" s="1345"/>
      <c r="F23" s="1345"/>
      <c r="G23" s="1081">
        <f t="shared" si="0"/>
        <v>0</v>
      </c>
      <c r="H23" s="1343"/>
      <c r="I23" s="1343"/>
      <c r="J23" s="1343"/>
      <c r="K23" s="1343"/>
      <c r="L23" s="1343"/>
      <c r="M23" s="1343"/>
      <c r="N23" s="1348"/>
      <c r="O23" s="1286"/>
    </row>
    <row r="24" spans="1:15">
      <c r="B24" s="1345"/>
      <c r="C24" s="1349"/>
      <c r="D24" s="1345"/>
      <c r="E24" s="1345"/>
      <c r="F24" s="1345"/>
      <c r="G24" s="1081">
        <f t="shared" si="0"/>
        <v>0</v>
      </c>
      <c r="H24" s="1343"/>
      <c r="I24" s="1343"/>
      <c r="J24" s="1343"/>
      <c r="K24" s="1343"/>
      <c r="L24" s="1343"/>
      <c r="M24" s="1343"/>
      <c r="N24" s="1348"/>
      <c r="O24" s="1286"/>
    </row>
    <row r="25" spans="1:15">
      <c r="A25" s="1333" t="s">
        <v>315</v>
      </c>
      <c r="B25" s="1345"/>
      <c r="C25" s="1349"/>
      <c r="D25" s="1345"/>
      <c r="E25" s="1345"/>
      <c r="F25" s="1345"/>
      <c r="G25" s="1081">
        <f t="shared" si="0"/>
        <v>0</v>
      </c>
      <c r="H25" s="1343"/>
      <c r="I25" s="1343"/>
      <c r="J25" s="1343"/>
      <c r="K25" s="1343"/>
      <c r="L25" s="1343"/>
      <c r="M25" s="1343"/>
      <c r="N25" s="1348"/>
      <c r="O25" s="1286"/>
    </row>
    <row r="26" spans="1:15">
      <c r="A26" s="1333">
        <v>2</v>
      </c>
      <c r="B26" s="1352" t="s">
        <v>956</v>
      </c>
      <c r="C26" s="1353"/>
      <c r="D26" s="1081"/>
      <c r="E26" s="1081"/>
      <c r="F26" s="1081"/>
      <c r="G26" s="1081">
        <f>SUM(G9:G25)</f>
        <v>0</v>
      </c>
      <c r="H26" s="1343"/>
      <c r="I26" s="1343"/>
      <c r="J26" s="1343"/>
      <c r="K26" s="1343"/>
      <c r="L26" s="1343"/>
      <c r="M26" s="1343"/>
      <c r="N26" s="1348"/>
      <c r="O26" s="1286"/>
    </row>
    <row r="27" spans="1:15">
      <c r="B27" s="1336"/>
      <c r="C27" s="1354"/>
      <c r="D27" s="1343"/>
      <c r="E27" s="1343"/>
      <c r="F27" s="1343"/>
      <c r="G27" s="1343"/>
      <c r="H27" s="1343"/>
      <c r="I27" s="1343"/>
      <c r="J27" s="1343"/>
      <c r="K27" s="1343"/>
      <c r="L27" s="1343"/>
      <c r="M27" s="1343"/>
      <c r="N27" s="1348"/>
      <c r="O27" s="1286"/>
    </row>
    <row r="28" spans="1:15">
      <c r="B28" s="1336"/>
      <c r="C28" s="1354"/>
      <c r="D28" s="1343"/>
      <c r="E28" s="1343"/>
      <c r="F28" s="1343"/>
      <c r="G28" s="1343"/>
      <c r="H28" s="1343"/>
      <c r="I28" s="1343"/>
      <c r="J28" s="1343"/>
      <c r="K28" s="1343"/>
      <c r="L28" s="1343"/>
      <c r="M28" s="1343"/>
      <c r="N28" s="1348"/>
      <c r="O28" s="1286"/>
    </row>
    <row r="29" spans="1:15">
      <c r="B29" s="1336" t="s">
        <v>813</v>
      </c>
      <c r="C29" s="1336"/>
      <c r="D29" s="1336"/>
      <c r="E29" s="1336"/>
      <c r="F29" s="1336"/>
      <c r="G29" s="1336"/>
      <c r="H29" s="1336"/>
      <c r="I29" s="1336"/>
      <c r="J29" s="1336"/>
      <c r="K29" s="1336"/>
      <c r="L29" s="1336"/>
      <c r="M29" s="1336"/>
      <c r="O29" s="1286"/>
    </row>
    <row r="30" spans="1:15">
      <c r="B30" s="1336"/>
      <c r="C30" s="1336"/>
      <c r="D30" s="1336"/>
      <c r="E30" s="1336"/>
      <c r="F30" s="1336"/>
      <c r="G30" s="1336"/>
      <c r="H30" s="1336"/>
      <c r="I30" s="1336"/>
      <c r="J30" s="1336"/>
      <c r="K30" s="1336"/>
      <c r="L30" s="1336"/>
      <c r="M30" s="1336"/>
      <c r="O30" s="1286"/>
    </row>
    <row r="31" spans="1:15">
      <c r="B31" s="1336"/>
      <c r="C31" s="1336"/>
      <c r="D31" s="1336"/>
      <c r="E31" s="1336"/>
      <c r="F31" s="1336"/>
      <c r="G31" s="1336"/>
      <c r="H31" s="1336"/>
      <c r="I31" s="1336"/>
      <c r="J31" s="1336"/>
      <c r="K31" s="1336"/>
      <c r="L31" s="1336"/>
      <c r="M31" s="1336"/>
      <c r="O31" s="1286"/>
    </row>
    <row r="32" spans="1:15">
      <c r="A32" s="1777" t="s">
        <v>665</v>
      </c>
      <c r="B32" s="1777"/>
      <c r="C32" s="1777"/>
      <c r="D32" s="1336"/>
      <c r="E32" s="1336"/>
      <c r="F32" s="1336"/>
      <c r="G32" s="1336"/>
      <c r="H32" s="1336"/>
      <c r="I32" s="1336"/>
      <c r="J32" s="1336"/>
      <c r="K32" s="1336"/>
      <c r="L32" s="1336"/>
      <c r="M32" s="1336"/>
      <c r="O32" s="1286"/>
    </row>
    <row r="33" spans="1:15">
      <c r="B33" s="1336"/>
      <c r="C33" s="1336"/>
      <c r="D33" s="1336"/>
      <c r="E33" s="1336"/>
      <c r="F33" s="1336"/>
      <c r="G33" s="1336"/>
      <c r="H33" s="1336"/>
      <c r="I33" s="1336"/>
      <c r="J33" s="1336"/>
      <c r="K33" s="1336"/>
      <c r="L33" s="1336"/>
      <c r="M33" s="1336"/>
      <c r="O33" s="1286"/>
    </row>
    <row r="34" spans="1:15">
      <c r="B34" s="1336"/>
      <c r="C34" s="1336"/>
      <c r="D34" s="1336"/>
      <c r="E34" s="1336"/>
      <c r="F34" s="1336"/>
      <c r="G34" s="1336"/>
      <c r="H34" s="1336"/>
      <c r="I34" s="1336"/>
      <c r="J34" s="1336"/>
      <c r="K34" s="1336"/>
      <c r="L34" s="1336"/>
      <c r="M34" s="1336"/>
      <c r="O34" s="1286"/>
    </row>
    <row r="35" spans="1:15">
      <c r="B35" s="1336" t="s">
        <v>598</v>
      </c>
      <c r="C35" s="1355">
        <v>350</v>
      </c>
      <c r="D35" s="1355">
        <v>352</v>
      </c>
      <c r="E35" s="1355">
        <v>352</v>
      </c>
      <c r="F35" s="1355">
        <v>353</v>
      </c>
      <c r="G35" s="1355">
        <v>354</v>
      </c>
      <c r="H35" s="1355">
        <v>355</v>
      </c>
      <c r="I35" s="1355">
        <v>356</v>
      </c>
      <c r="J35" s="1355">
        <v>357</v>
      </c>
      <c r="K35" s="1355">
        <v>358</v>
      </c>
      <c r="L35" s="1355">
        <v>359</v>
      </c>
      <c r="M35" s="1356"/>
      <c r="O35" s="1286"/>
    </row>
    <row r="36" spans="1:15" ht="49.5">
      <c r="B36" s="1336"/>
      <c r="C36" s="1357" t="s">
        <v>666</v>
      </c>
      <c r="D36" s="1357" t="s">
        <v>667</v>
      </c>
      <c r="E36" s="1357" t="s">
        <v>668</v>
      </c>
      <c r="F36" s="1357" t="s">
        <v>669</v>
      </c>
      <c r="G36" s="1357" t="s">
        <v>670</v>
      </c>
      <c r="H36" s="1357" t="s">
        <v>671</v>
      </c>
      <c r="I36" s="1357" t="s">
        <v>672</v>
      </c>
      <c r="J36" s="1357" t="s">
        <v>673</v>
      </c>
      <c r="K36" s="1357" t="s">
        <v>674</v>
      </c>
      <c r="L36" s="1357" t="s">
        <v>675</v>
      </c>
      <c r="M36" s="1357" t="s">
        <v>20</v>
      </c>
      <c r="O36" s="1286"/>
    </row>
    <row r="37" spans="1:15">
      <c r="A37" s="1333">
        <v>3</v>
      </c>
      <c r="B37" s="1336" t="s">
        <v>927</v>
      </c>
      <c r="C37" s="1350"/>
      <c r="D37" s="1350"/>
      <c r="E37" s="1350"/>
      <c r="F37" s="1350"/>
      <c r="G37" s="1350"/>
      <c r="H37" s="1350"/>
      <c r="I37" s="1350"/>
      <c r="J37" s="1350"/>
      <c r="K37" s="1350"/>
      <c r="L37" s="1350"/>
      <c r="M37" s="1348">
        <f t="shared" ref="M37:M53" si="1">SUM(C37:L37)</f>
        <v>0</v>
      </c>
      <c r="O37" s="1286"/>
    </row>
    <row r="38" spans="1:15">
      <c r="A38" s="1333" t="s">
        <v>881</v>
      </c>
      <c r="B38" s="1336" t="s">
        <v>664</v>
      </c>
      <c r="C38" s="1345"/>
      <c r="D38" s="1345"/>
      <c r="E38" s="1345"/>
      <c r="F38" s="1345"/>
      <c r="G38" s="1345"/>
      <c r="H38" s="1345"/>
      <c r="I38" s="1345"/>
      <c r="J38" s="1345"/>
      <c r="K38" s="1345"/>
      <c r="L38" s="1345"/>
      <c r="M38" s="1348">
        <f t="shared" si="1"/>
        <v>0</v>
      </c>
      <c r="O38" s="1286"/>
    </row>
    <row r="39" spans="1:15">
      <c r="A39" s="1333" t="s">
        <v>882</v>
      </c>
      <c r="B39" s="1336"/>
      <c r="C39" s="1345"/>
      <c r="D39" s="1345"/>
      <c r="E39" s="1345"/>
      <c r="F39" s="1345"/>
      <c r="G39" s="1345"/>
      <c r="H39" s="1345"/>
      <c r="I39" s="1345"/>
      <c r="J39" s="1345"/>
      <c r="K39" s="1345"/>
      <c r="L39" s="1345"/>
      <c r="M39" s="1348">
        <f t="shared" si="1"/>
        <v>0</v>
      </c>
      <c r="O39" s="1286"/>
    </row>
    <row r="40" spans="1:15">
      <c r="A40" s="1333" t="s">
        <v>883</v>
      </c>
      <c r="B40" s="1336"/>
      <c r="C40" s="1345"/>
      <c r="D40" s="1345"/>
      <c r="E40" s="1345"/>
      <c r="F40" s="1345"/>
      <c r="G40" s="1345"/>
      <c r="H40" s="1345"/>
      <c r="I40" s="1345"/>
      <c r="J40" s="1345"/>
      <c r="K40" s="1345"/>
      <c r="L40" s="1345"/>
      <c r="M40" s="1348">
        <f t="shared" si="1"/>
        <v>0</v>
      </c>
      <c r="O40" s="1286"/>
    </row>
    <row r="41" spans="1:15">
      <c r="A41" s="1333" t="s">
        <v>380</v>
      </c>
      <c r="B41" s="1336"/>
      <c r="C41" s="1345"/>
      <c r="D41" s="1345"/>
      <c r="E41" s="1345"/>
      <c r="F41" s="1345"/>
      <c r="G41" s="1345"/>
      <c r="H41" s="1345"/>
      <c r="I41" s="1345"/>
      <c r="J41" s="1345"/>
      <c r="K41" s="1345"/>
      <c r="L41" s="1345"/>
      <c r="M41" s="1348">
        <f t="shared" si="1"/>
        <v>0</v>
      </c>
      <c r="O41" s="1286"/>
    </row>
    <row r="42" spans="1:15">
      <c r="A42" s="1333" t="s">
        <v>380</v>
      </c>
      <c r="B42" s="1336"/>
      <c r="C42" s="1345"/>
      <c r="D42" s="1345"/>
      <c r="E42" s="1345"/>
      <c r="F42" s="1345"/>
      <c r="G42" s="1345"/>
      <c r="H42" s="1345"/>
      <c r="I42" s="1345"/>
      <c r="J42" s="1345"/>
      <c r="K42" s="1345"/>
      <c r="L42" s="1345"/>
      <c r="M42" s="1348">
        <f t="shared" si="1"/>
        <v>0</v>
      </c>
      <c r="O42" s="1286"/>
    </row>
    <row r="43" spans="1:15">
      <c r="A43" s="1333" t="s">
        <v>380</v>
      </c>
      <c r="B43" s="1336"/>
      <c r="C43" s="1345"/>
      <c r="D43" s="1345"/>
      <c r="E43" s="1345"/>
      <c r="F43" s="1345"/>
      <c r="G43" s="1345"/>
      <c r="H43" s="1345"/>
      <c r="I43" s="1345"/>
      <c r="J43" s="1345"/>
      <c r="K43" s="1345"/>
      <c r="L43" s="1345"/>
      <c r="M43" s="1348">
        <f t="shared" si="1"/>
        <v>0</v>
      </c>
      <c r="O43" s="1286"/>
    </row>
    <row r="44" spans="1:15">
      <c r="A44" s="1333" t="s">
        <v>380</v>
      </c>
      <c r="B44" s="1336"/>
      <c r="C44" s="1345"/>
      <c r="D44" s="1345"/>
      <c r="E44" s="1345"/>
      <c r="F44" s="1345"/>
      <c r="G44" s="1345"/>
      <c r="H44" s="1345"/>
      <c r="I44" s="1345"/>
      <c r="J44" s="1345"/>
      <c r="K44" s="1345"/>
      <c r="L44" s="1345"/>
      <c r="M44" s="1348">
        <f t="shared" si="1"/>
        <v>0</v>
      </c>
      <c r="O44" s="1286"/>
    </row>
    <row r="45" spans="1:15">
      <c r="A45" s="1333" t="s">
        <v>380</v>
      </c>
      <c r="B45" s="1336"/>
      <c r="C45" s="1345"/>
      <c r="D45" s="1345"/>
      <c r="E45" s="1345"/>
      <c r="F45" s="1345"/>
      <c r="G45" s="1345"/>
      <c r="H45" s="1345"/>
      <c r="I45" s="1345"/>
      <c r="J45" s="1345"/>
      <c r="K45" s="1345"/>
      <c r="L45" s="1345"/>
      <c r="M45" s="1348">
        <f t="shared" si="1"/>
        <v>0</v>
      </c>
      <c r="O45" s="1286"/>
    </row>
    <row r="46" spans="1:15">
      <c r="A46" s="1333" t="s">
        <v>380</v>
      </c>
      <c r="B46" s="1336"/>
      <c r="C46" s="1345"/>
      <c r="D46" s="1345"/>
      <c r="E46" s="1345"/>
      <c r="F46" s="1345"/>
      <c r="G46" s="1345"/>
      <c r="H46" s="1345"/>
      <c r="I46" s="1345"/>
      <c r="J46" s="1345"/>
      <c r="K46" s="1345"/>
      <c r="L46" s="1345"/>
      <c r="M46" s="1348">
        <f t="shared" si="1"/>
        <v>0</v>
      </c>
      <c r="O46" s="1286"/>
    </row>
    <row r="47" spans="1:15">
      <c r="A47" s="1333" t="s">
        <v>380</v>
      </c>
      <c r="B47" s="1336"/>
      <c r="C47" s="1345"/>
      <c r="D47" s="1345"/>
      <c r="E47" s="1345"/>
      <c r="F47" s="1345"/>
      <c r="G47" s="1345"/>
      <c r="H47" s="1345"/>
      <c r="I47" s="1345"/>
      <c r="J47" s="1345"/>
      <c r="K47" s="1345"/>
      <c r="L47" s="1345"/>
      <c r="M47" s="1348">
        <f t="shared" si="1"/>
        <v>0</v>
      </c>
      <c r="O47" s="1286"/>
    </row>
    <row r="48" spans="1:15">
      <c r="A48" s="1333" t="s">
        <v>380</v>
      </c>
      <c r="B48" s="1336"/>
      <c r="C48" s="1345"/>
      <c r="D48" s="1345"/>
      <c r="E48" s="1345"/>
      <c r="F48" s="1345"/>
      <c r="G48" s="1345"/>
      <c r="H48" s="1345"/>
      <c r="I48" s="1345"/>
      <c r="J48" s="1345"/>
      <c r="K48" s="1345"/>
      <c r="L48" s="1345"/>
      <c r="M48" s="1348">
        <f t="shared" si="1"/>
        <v>0</v>
      </c>
      <c r="O48" s="1286"/>
    </row>
    <row r="49" spans="1:15">
      <c r="A49" s="1333" t="s">
        <v>380</v>
      </c>
      <c r="B49" s="1336"/>
      <c r="C49" s="1345"/>
      <c r="D49" s="1345"/>
      <c r="E49" s="1345"/>
      <c r="F49" s="1345"/>
      <c r="G49" s="1345"/>
      <c r="H49" s="1345"/>
      <c r="I49" s="1345"/>
      <c r="J49" s="1345"/>
      <c r="K49" s="1345"/>
      <c r="L49" s="1345"/>
      <c r="M49" s="1348">
        <f t="shared" si="1"/>
        <v>0</v>
      </c>
      <c r="O49" s="1286"/>
    </row>
    <row r="50" spans="1:15">
      <c r="B50" s="1336"/>
      <c r="C50" s="1345"/>
      <c r="D50" s="1345"/>
      <c r="E50" s="1345"/>
      <c r="F50" s="1345"/>
      <c r="G50" s="1345"/>
      <c r="H50" s="1345"/>
      <c r="I50" s="1345"/>
      <c r="J50" s="1345"/>
      <c r="K50" s="1345"/>
      <c r="L50" s="1345"/>
      <c r="M50" s="1348">
        <f t="shared" si="1"/>
        <v>0</v>
      </c>
      <c r="O50" s="1286"/>
    </row>
    <row r="51" spans="1:15">
      <c r="B51" s="1336"/>
      <c r="C51" s="1345"/>
      <c r="D51" s="1345"/>
      <c r="E51" s="1345"/>
      <c r="F51" s="1345"/>
      <c r="G51" s="1345"/>
      <c r="H51" s="1345"/>
      <c r="I51" s="1345"/>
      <c r="J51" s="1345"/>
      <c r="K51" s="1345"/>
      <c r="L51" s="1345"/>
      <c r="M51" s="1348">
        <f t="shared" si="1"/>
        <v>0</v>
      </c>
      <c r="O51" s="1286"/>
    </row>
    <row r="52" spans="1:15">
      <c r="B52" s="1336"/>
      <c r="C52" s="1345"/>
      <c r="D52" s="1345"/>
      <c r="E52" s="1345"/>
      <c r="F52" s="1345"/>
      <c r="G52" s="1345"/>
      <c r="H52" s="1345"/>
      <c r="I52" s="1345"/>
      <c r="J52" s="1345"/>
      <c r="K52" s="1345"/>
      <c r="L52" s="1345"/>
      <c r="M52" s="1348">
        <f t="shared" si="1"/>
        <v>0</v>
      </c>
      <c r="O52" s="1286"/>
    </row>
    <row r="53" spans="1:15">
      <c r="A53" s="1333" t="s">
        <v>884</v>
      </c>
      <c r="B53" s="1336"/>
      <c r="C53" s="1345"/>
      <c r="D53" s="1345"/>
      <c r="E53" s="1345"/>
      <c r="F53" s="1345"/>
      <c r="G53" s="1345"/>
      <c r="H53" s="1345"/>
      <c r="I53" s="1345"/>
      <c r="J53" s="1345"/>
      <c r="K53" s="1345"/>
      <c r="L53" s="1345"/>
      <c r="M53" s="1348">
        <f t="shared" si="1"/>
        <v>0</v>
      </c>
      <c r="O53" s="1286"/>
    </row>
    <row r="54" spans="1:15">
      <c r="A54" s="1333">
        <v>4</v>
      </c>
      <c r="B54" s="1332" t="s">
        <v>957</v>
      </c>
      <c r="C54" s="1352"/>
      <c r="D54" s="1352"/>
      <c r="E54" s="1352"/>
      <c r="F54" s="1352"/>
      <c r="G54" s="1352"/>
      <c r="H54" s="1352"/>
      <c r="I54" s="1352"/>
      <c r="J54" s="1352"/>
      <c r="K54" s="1352"/>
      <c r="L54" s="1352"/>
      <c r="M54" s="1352">
        <f>SUM(M37:M53)</f>
        <v>0</v>
      </c>
      <c r="O54" s="1286"/>
    </row>
    <row r="55" spans="1:15">
      <c r="C55" s="1352"/>
      <c r="D55" s="1352"/>
      <c r="E55" s="1352"/>
      <c r="F55" s="1352"/>
      <c r="G55" s="1352"/>
      <c r="H55" s="1352"/>
      <c r="I55" s="1352"/>
      <c r="J55" s="1352"/>
      <c r="K55" s="1352"/>
      <c r="L55" s="1352"/>
      <c r="M55" s="1352"/>
      <c r="O55" s="1286"/>
    </row>
    <row r="56" spans="1:15">
      <c r="C56" s="1352"/>
      <c r="D56" s="1352"/>
      <c r="E56" s="1352"/>
      <c r="F56" s="1352"/>
      <c r="G56" s="1352"/>
      <c r="H56" s="1352"/>
      <c r="I56" s="1352"/>
      <c r="J56" s="1352"/>
      <c r="K56" s="1352"/>
      <c r="L56" s="1352"/>
      <c r="M56" s="1352"/>
      <c r="O56" s="1286"/>
    </row>
    <row r="57" spans="1:15">
      <c r="O57" s="1286"/>
    </row>
    <row r="58" spans="1:15">
      <c r="O58" s="1286"/>
    </row>
    <row r="59" spans="1:15">
      <c r="O59" s="1286"/>
    </row>
    <row r="60" spans="1:15">
      <c r="O60" s="1286"/>
    </row>
    <row r="61" spans="1:15">
      <c r="O61" s="1286"/>
    </row>
    <row r="62" spans="1:15">
      <c r="O62" s="1286"/>
    </row>
    <row r="63" spans="1:15">
      <c r="O63" s="1286"/>
    </row>
    <row r="64" spans="1:15">
      <c r="O64" s="1286"/>
    </row>
    <row r="65" spans="15:15">
      <c r="O65" s="1286"/>
    </row>
    <row r="66" spans="15:15">
      <c r="O66" s="1286"/>
    </row>
    <row r="67" spans="15:15">
      <c r="O67" s="1286"/>
    </row>
    <row r="68" spans="15:15">
      <c r="O68" s="1286"/>
    </row>
    <row r="69" spans="15:15">
      <c r="O69" s="1286"/>
    </row>
    <row r="70" spans="15:15">
      <c r="O70" s="1286"/>
    </row>
    <row r="71" spans="15:15">
      <c r="O71" s="1286"/>
    </row>
    <row r="72" spans="15:15">
      <c r="O72" s="1286"/>
    </row>
    <row r="73" spans="15:15">
      <c r="O73" s="1286"/>
    </row>
    <row r="74" spans="15:15">
      <c r="O74" s="1286"/>
    </row>
    <row r="75" spans="15:15">
      <c r="O75" s="1286"/>
    </row>
    <row r="76" spans="15:15">
      <c r="O76" s="1286"/>
    </row>
    <row r="77" spans="15:15">
      <c r="O77" s="1286"/>
    </row>
    <row r="78" spans="15:15">
      <c r="O78" s="1286"/>
    </row>
    <row r="79" spans="15:15">
      <c r="O79" s="1286"/>
    </row>
    <row r="80" spans="15:15">
      <c r="O80" s="1286"/>
    </row>
    <row r="81" spans="15:15">
      <c r="O81" s="1286"/>
    </row>
    <row r="82" spans="15:15">
      <c r="O82" s="1286"/>
    </row>
    <row r="83" spans="15:15">
      <c r="O83" s="1286"/>
    </row>
    <row r="84" spans="15:15">
      <c r="O84" s="1286"/>
    </row>
    <row r="85" spans="15:15">
      <c r="O85" s="1286"/>
    </row>
    <row r="86" spans="15:15">
      <c r="O86" s="1286"/>
    </row>
  </sheetData>
  <mergeCells count="4">
    <mergeCell ref="A1:M1"/>
    <mergeCell ref="A2:M2"/>
    <mergeCell ref="A7:C7"/>
    <mergeCell ref="A32:C32"/>
  </mergeCells>
  <pageMargins left="0.7" right="0.7" top="0.75" bottom="0.75" header="0.3" footer="0.3"/>
  <pageSetup paperSize="5"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S18"/>
  <sheetViews>
    <sheetView view="pageBreakPreview" zoomScale="90" zoomScaleNormal="100" zoomScaleSheetLayoutView="90" workbookViewId="0">
      <selection activeCell="F4" sqref="F4"/>
    </sheetView>
  </sheetViews>
  <sheetFormatPr defaultColWidth="8.88671875" defaultRowHeight="12.75"/>
  <cols>
    <col min="1" max="1" width="6" style="1278" customWidth="1"/>
    <col min="2" max="2" width="32.109375" style="1278" customWidth="1"/>
    <col min="3" max="5" width="10.88671875" style="1278" bestFit="1" customWidth="1"/>
    <col min="6" max="6" width="11.33203125" style="1278" bestFit="1" customWidth="1"/>
    <col min="7" max="7" width="10.88671875" style="1278" bestFit="1" customWidth="1"/>
    <col min="8" max="16384" width="8.88671875" style="1278"/>
  </cols>
  <sheetData>
    <row r="1" spans="1:19" ht="15">
      <c r="B1" s="1772" t="s">
        <v>830</v>
      </c>
      <c r="C1" s="1773"/>
      <c r="D1" s="1773"/>
      <c r="E1" s="1773"/>
      <c r="F1" s="1773"/>
      <c r="G1" s="1773"/>
      <c r="H1" s="1773"/>
      <c r="I1" s="1069"/>
      <c r="J1" s="1069"/>
      <c r="K1" s="1069"/>
      <c r="L1" s="1069"/>
      <c r="M1" s="1069"/>
      <c r="N1" s="1069"/>
      <c r="O1" s="1069"/>
      <c r="P1" s="1069"/>
      <c r="Q1" s="1069"/>
      <c r="R1" s="1069"/>
      <c r="S1" s="1069"/>
    </row>
    <row r="2" spans="1:19" ht="15.75">
      <c r="B2" s="1773" t="s">
        <v>489</v>
      </c>
      <c r="C2" s="1773"/>
      <c r="D2" s="1773"/>
      <c r="E2" s="1773"/>
      <c r="F2" s="1773"/>
      <c r="G2" s="1773"/>
      <c r="H2" s="1773"/>
      <c r="I2" s="1069"/>
      <c r="J2" s="1069"/>
      <c r="K2" s="1069"/>
      <c r="L2" s="1069"/>
      <c r="M2" s="1069"/>
      <c r="N2" s="1069"/>
      <c r="O2" s="1069"/>
      <c r="P2" s="1069"/>
      <c r="Q2" s="1069"/>
      <c r="R2" s="1069"/>
      <c r="S2" s="1069"/>
    </row>
    <row r="3" spans="1:19">
      <c r="F3" s="1284" t="s">
        <v>1079</v>
      </c>
      <c r="G3" s="1284"/>
    </row>
    <row r="4" spans="1:19" ht="15">
      <c r="B4" s="1313"/>
      <c r="F4" s="1498"/>
      <c r="G4" s="1300"/>
    </row>
    <row r="5" spans="1:19" ht="15.75" thickBot="1">
      <c r="B5" s="1285" t="s">
        <v>831</v>
      </c>
      <c r="C5" s="1778"/>
      <c r="D5" s="1778"/>
      <c r="E5" s="1778"/>
      <c r="F5" s="1778"/>
      <c r="G5" s="1778"/>
    </row>
    <row r="6" spans="1:19" ht="30">
      <c r="A6" s="1278" t="s">
        <v>659</v>
      </c>
      <c r="B6" s="1285" t="s">
        <v>676</v>
      </c>
      <c r="C6" s="1324" t="s">
        <v>1193</v>
      </c>
      <c r="D6" s="1324" t="s">
        <v>1194</v>
      </c>
      <c r="E6" s="1324" t="s">
        <v>1195</v>
      </c>
      <c r="F6" s="1324" t="s">
        <v>1196</v>
      </c>
      <c r="G6" s="1311"/>
    </row>
    <row r="7" spans="1:19" ht="30">
      <c r="B7" s="1285"/>
      <c r="C7" s="1312" t="s">
        <v>677</v>
      </c>
      <c r="D7" s="1312" t="s">
        <v>677</v>
      </c>
      <c r="E7" s="1312" t="s">
        <v>677</v>
      </c>
      <c r="F7" s="1312" t="s">
        <v>677</v>
      </c>
      <c r="G7" s="1311" t="s">
        <v>20</v>
      </c>
    </row>
    <row r="8" spans="1:19" ht="23.25">
      <c r="B8" s="1285"/>
      <c r="C8" s="1285"/>
      <c r="D8" s="1310"/>
      <c r="E8" s="1285"/>
      <c r="F8" s="1285"/>
      <c r="G8" s="1285"/>
    </row>
    <row r="9" spans="1:19" ht="23.25">
      <c r="B9" s="1308"/>
      <c r="C9" s="1308"/>
      <c r="D9" s="1309"/>
      <c r="E9" s="1308"/>
      <c r="F9" s="1308"/>
      <c r="G9" s="1308"/>
    </row>
    <row r="10" spans="1:19" ht="16.5">
      <c r="A10" s="1278">
        <v>1</v>
      </c>
      <c r="B10" s="1307" t="s">
        <v>1197</v>
      </c>
      <c r="C10" s="1306">
        <v>1115.44</v>
      </c>
      <c r="D10" s="1306">
        <v>6892.19</v>
      </c>
      <c r="E10" s="1306">
        <v>0</v>
      </c>
      <c r="F10" s="1306">
        <v>0</v>
      </c>
      <c r="G10" s="1305">
        <f>SUM(C10:F10)</f>
        <v>8007.6299999999992</v>
      </c>
    </row>
    <row r="11" spans="1:19" ht="16.5">
      <c r="A11" s="1278">
        <v>2</v>
      </c>
      <c r="B11" s="1307" t="s">
        <v>1198</v>
      </c>
      <c r="C11" s="1306">
        <v>9998.39</v>
      </c>
      <c r="D11" s="1306">
        <v>0</v>
      </c>
      <c r="E11" s="1306">
        <f>510.45+58140.44+680.76</f>
        <v>59331.65</v>
      </c>
      <c r="F11" s="1306">
        <v>186.68</v>
      </c>
      <c r="G11" s="1305">
        <f>SUM(C11:F11)</f>
        <v>69516.72</v>
      </c>
    </row>
    <row r="12" spans="1:19" ht="16.5">
      <c r="A12" s="1278">
        <v>3</v>
      </c>
      <c r="B12" s="1307" t="s">
        <v>1199</v>
      </c>
      <c r="C12" s="1306"/>
      <c r="D12" s="1306"/>
      <c r="E12" s="1306">
        <v>8386.06</v>
      </c>
      <c r="F12" s="1306">
        <v>13.219999999999999</v>
      </c>
      <c r="G12" s="1305">
        <f>SUM(C12:F12)</f>
        <v>8399.2799999999988</v>
      </c>
    </row>
    <row r="13" spans="1:19" ht="16.5">
      <c r="A13" s="1278">
        <v>4</v>
      </c>
      <c r="B13" s="1307"/>
      <c r="C13" s="1306"/>
      <c r="D13" s="1306"/>
      <c r="E13" s="1306"/>
      <c r="F13" s="1306"/>
      <c r="G13" s="1305"/>
    </row>
    <row r="14" spans="1:19" ht="16.5">
      <c r="A14" s="1278">
        <v>5</v>
      </c>
      <c r="B14" s="1307"/>
      <c r="C14" s="1306"/>
      <c r="D14" s="1306"/>
      <c r="E14" s="1306"/>
      <c r="F14" s="1306"/>
      <c r="G14" s="1305"/>
    </row>
    <row r="15" spans="1:19" ht="16.5">
      <c r="A15" s="1278">
        <v>6</v>
      </c>
      <c r="B15" s="1307"/>
      <c r="C15" s="1306"/>
      <c r="D15" s="1306"/>
      <c r="E15" s="1306"/>
      <c r="F15" s="1306"/>
      <c r="G15" s="1305"/>
    </row>
    <row r="16" spans="1:19" ht="16.5">
      <c r="A16" s="1278">
        <v>7</v>
      </c>
      <c r="B16" s="1307"/>
      <c r="C16" s="1306"/>
      <c r="D16" s="1306"/>
      <c r="E16" s="1306"/>
      <c r="F16" s="1306"/>
      <c r="G16" s="1305"/>
    </row>
    <row r="17" spans="1:7" ht="15">
      <c r="B17" s="1285"/>
      <c r="C17" s="1304"/>
      <c r="D17" s="1304"/>
      <c r="E17" s="1304"/>
      <c r="F17" s="1304"/>
      <c r="G17" s="1304"/>
    </row>
    <row r="18" spans="1:7" ht="15">
      <c r="A18" s="1278">
        <v>8</v>
      </c>
      <c r="B18" s="1285" t="s">
        <v>20</v>
      </c>
      <c r="C18" s="1303">
        <f>SUM(C10:C16)</f>
        <v>11113.83</v>
      </c>
      <c r="D18" s="1303">
        <f>SUM(D10:D16)</f>
        <v>6892.19</v>
      </c>
      <c r="E18" s="1303">
        <f>SUM(E10:E16)</f>
        <v>67717.710000000006</v>
      </c>
      <c r="F18" s="1303">
        <f>SUM(F10:F16)</f>
        <v>199.9</v>
      </c>
      <c r="G18" s="1303">
        <f>SUM(G10:G16)</f>
        <v>85923.63</v>
      </c>
    </row>
  </sheetData>
  <mergeCells count="3">
    <mergeCell ref="B1:H1"/>
    <mergeCell ref="B2:H2"/>
    <mergeCell ref="C5:G5"/>
  </mergeCells>
  <printOptions horizontalCentered="1"/>
  <pageMargins left="0.5" right="0.5" top="1" bottom="0.5" header="0.5" footer="0.5"/>
  <pageSetup scale="78"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H264"/>
  <sheetViews>
    <sheetView zoomScale="80" zoomScaleNormal="80" zoomScaleSheetLayoutView="75" workbookViewId="0">
      <selection activeCell="E38" sqref="E38"/>
    </sheetView>
  </sheetViews>
  <sheetFormatPr defaultColWidth="8.88671875" defaultRowHeight="15"/>
  <cols>
    <col min="1" max="1" width="7.33203125" style="170" customWidth="1"/>
    <col min="2" max="2" width="57.77734375" style="170" customWidth="1"/>
    <col min="3" max="3" width="28.33203125" style="170" customWidth="1"/>
    <col min="4" max="4" width="10.88671875" style="191" bestFit="1" customWidth="1"/>
    <col min="5" max="5" width="9.33203125" style="170" bestFit="1" customWidth="1"/>
    <col min="6" max="16384" width="8.88671875" style="170"/>
  </cols>
  <sheetData>
    <row r="1" spans="1:7" ht="18">
      <c r="A1" s="1650" t="s">
        <v>484</v>
      </c>
      <c r="B1" s="1650"/>
      <c r="C1" s="1650"/>
      <c r="D1" s="1650"/>
    </row>
    <row r="2" spans="1:7" ht="18">
      <c r="A2" s="1650" t="str">
        <f>'Appendix III'!$E$8</f>
        <v>MidAmerican Central California Transco, LLC</v>
      </c>
      <c r="B2" s="1650"/>
      <c r="C2" s="1650"/>
      <c r="D2" s="1650"/>
    </row>
    <row r="3" spans="1:7">
      <c r="A3" s="199"/>
      <c r="B3" s="199"/>
      <c r="C3" s="199"/>
      <c r="D3" s="1162"/>
    </row>
    <row r="4" spans="1:7">
      <c r="A4" s="199"/>
      <c r="B4" s="199"/>
      <c r="C4" s="199"/>
      <c r="D4" s="1162"/>
    </row>
    <row r="5" spans="1:7" ht="15.75">
      <c r="A5" s="1159"/>
      <c r="B5" s="1160" t="s">
        <v>182</v>
      </c>
      <c r="C5" s="1161" t="s">
        <v>438</v>
      </c>
      <c r="D5" s="1162"/>
      <c r="E5" s="1170"/>
    </row>
    <row r="6" spans="1:7">
      <c r="A6" s="1159">
        <v>1</v>
      </c>
      <c r="B6" s="1163" t="s">
        <v>293</v>
      </c>
      <c r="C6" s="1161" t="s">
        <v>939</v>
      </c>
      <c r="D6" s="1168">
        <f>+C45</f>
        <v>0</v>
      </c>
      <c r="E6" s="1170"/>
    </row>
    <row r="7" spans="1:7">
      <c r="A7" s="1159"/>
      <c r="B7" s="199"/>
      <c r="C7" s="1163"/>
      <c r="D7" s="1165"/>
      <c r="E7" s="1169"/>
      <c r="G7" s="201"/>
    </row>
    <row r="8" spans="1:7" ht="15.75">
      <c r="A8" s="1159"/>
      <c r="B8" s="386" t="s">
        <v>318</v>
      </c>
      <c r="C8" s="1161" t="s">
        <v>438</v>
      </c>
      <c r="D8" s="1162"/>
      <c r="E8" s="1169"/>
      <c r="G8" s="200"/>
    </row>
    <row r="9" spans="1:7">
      <c r="A9" s="1166">
        <f>+A6+1</f>
        <v>2</v>
      </c>
      <c r="B9" s="1163" t="s">
        <v>294</v>
      </c>
      <c r="C9" s="1163"/>
      <c r="D9" s="1164">
        <v>0</v>
      </c>
      <c r="E9" s="1169"/>
      <c r="G9" s="200"/>
    </row>
    <row r="10" spans="1:7">
      <c r="A10" s="1166">
        <v>3</v>
      </c>
      <c r="B10" s="1163" t="s">
        <v>436</v>
      </c>
      <c r="C10" s="1163"/>
      <c r="D10" s="1164">
        <v>0</v>
      </c>
      <c r="E10" s="1169"/>
      <c r="G10" s="200"/>
    </row>
    <row r="11" spans="1:7">
      <c r="A11" s="1166">
        <v>4</v>
      </c>
      <c r="B11" s="1163" t="s">
        <v>181</v>
      </c>
      <c r="C11" s="1167"/>
      <c r="D11" s="1164">
        <v>0</v>
      </c>
      <c r="E11" s="1169"/>
      <c r="F11" s="171"/>
      <c r="G11" s="198"/>
    </row>
    <row r="12" spans="1:7">
      <c r="A12" s="1166">
        <f>+A11+1</f>
        <v>5</v>
      </c>
      <c r="B12" s="1163" t="s">
        <v>437</v>
      </c>
      <c r="C12" s="1159"/>
      <c r="D12" s="1164">
        <v>0</v>
      </c>
      <c r="E12" s="1169"/>
    </row>
    <row r="13" spans="1:7">
      <c r="A13" s="1166">
        <f>+A12+1</f>
        <v>6</v>
      </c>
      <c r="B13" s="1163" t="s">
        <v>836</v>
      </c>
      <c r="C13" s="1159"/>
      <c r="D13" s="1168">
        <f>+'10 Lease O&amp;M, Other Tax and 413'!D55</f>
        <v>0</v>
      </c>
      <c r="E13" s="1169"/>
    </row>
    <row r="14" spans="1:7">
      <c r="A14" s="1159"/>
      <c r="B14" s="1163"/>
      <c r="C14" s="1161"/>
      <c r="D14" s="822"/>
      <c r="E14" s="1169"/>
    </row>
    <row r="15" spans="1:7">
      <c r="A15" s="1159">
        <f>+A13+1</f>
        <v>7</v>
      </c>
      <c r="B15" s="1163" t="s">
        <v>180</v>
      </c>
      <c r="C15" s="1161" t="str">
        <f>"Sum lines "&amp;A9&amp;"-"&amp;A13&amp;" + line "&amp;A6&amp;""</f>
        <v>Sum lines 2-6 + line 1</v>
      </c>
      <c r="D15" s="1168">
        <f>SUM(D9:D14)+D6</f>
        <v>0</v>
      </c>
      <c r="E15" s="1169"/>
    </row>
    <row r="16" spans="1:7">
      <c r="A16" s="1159"/>
      <c r="B16" s="1161"/>
      <c r="C16" s="1159"/>
      <c r="D16" s="1168"/>
      <c r="E16" s="1169"/>
    </row>
    <row r="17" spans="1:8">
      <c r="A17" s="188"/>
      <c r="C17" s="199"/>
      <c r="D17" s="1172"/>
      <c r="E17" s="1171"/>
    </row>
    <row r="18" spans="1:8" s="195" customFormat="1" ht="12.75">
      <c r="A18" s="171"/>
      <c r="B18" s="188"/>
      <c r="C18" s="188"/>
      <c r="D18" s="197"/>
      <c r="E18" s="196"/>
    </row>
    <row r="19" spans="1:8" ht="87" customHeight="1">
      <c r="A19" s="434" t="s">
        <v>179</v>
      </c>
      <c r="B19" s="1651" t="s">
        <v>502</v>
      </c>
      <c r="C19" s="1651"/>
      <c r="D19" s="1651"/>
      <c r="E19" s="1651"/>
      <c r="F19" s="1651"/>
    </row>
    <row r="20" spans="1:8" ht="38.25" customHeight="1">
      <c r="A20" s="434" t="s">
        <v>178</v>
      </c>
      <c r="B20" s="1651" t="s">
        <v>1001</v>
      </c>
      <c r="C20" s="1651"/>
      <c r="D20" s="1651"/>
      <c r="E20" s="1651"/>
      <c r="F20" s="1651"/>
    </row>
    <row r="21" spans="1:8" ht="15.75">
      <c r="A21" s="434" t="s">
        <v>439</v>
      </c>
      <c r="B21" s="434" t="s">
        <v>177</v>
      </c>
      <c r="C21" s="434"/>
      <c r="D21" s="1192"/>
      <c r="E21" s="1193"/>
      <c r="F21" s="1193"/>
    </row>
    <row r="22" spans="1:8" ht="12.75">
      <c r="A22" s="449"/>
      <c r="B22" s="449"/>
      <c r="C22" s="449"/>
      <c r="D22" s="449"/>
      <c r="E22" s="449"/>
      <c r="F22" s="449"/>
      <c r="G22" s="449"/>
      <c r="H22" s="449"/>
    </row>
    <row r="23" spans="1:8">
      <c r="A23" s="1173" t="s">
        <v>303</v>
      </c>
      <c r="B23" s="1174"/>
      <c r="C23" s="1174"/>
      <c r="D23" s="1174"/>
      <c r="E23" s="1174"/>
      <c r="F23" s="1175"/>
      <c r="G23" s="451"/>
      <c r="H23" s="451"/>
    </row>
    <row r="24" spans="1:8">
      <c r="A24" s="1176">
        <v>1</v>
      </c>
      <c r="B24" s="1159" t="s">
        <v>0</v>
      </c>
      <c r="C24" s="1177" t="s">
        <v>304</v>
      </c>
      <c r="D24" s="1177" t="s">
        <v>477</v>
      </c>
      <c r="E24" s="1177" t="s">
        <v>310</v>
      </c>
      <c r="F24" s="1177" t="s">
        <v>311</v>
      </c>
    </row>
    <row r="25" spans="1:8">
      <c r="A25" s="1176" t="s">
        <v>312</v>
      </c>
      <c r="B25" s="1178" t="s">
        <v>305</v>
      </c>
      <c r="C25" s="1179">
        <f>SUM(D25:F25)</f>
        <v>0</v>
      </c>
      <c r="D25" s="1180">
        <v>0</v>
      </c>
      <c r="E25" s="1180">
        <v>0</v>
      </c>
      <c r="F25" s="1180">
        <v>0</v>
      </c>
    </row>
    <row r="26" spans="1:8">
      <c r="A26" s="1176" t="s">
        <v>315</v>
      </c>
      <c r="B26" s="1178" t="s">
        <v>306</v>
      </c>
      <c r="C26" s="1179">
        <f>SUM(D26:F26)</f>
        <v>0</v>
      </c>
      <c r="D26" s="1180">
        <v>0</v>
      </c>
      <c r="E26" s="1180">
        <v>0</v>
      </c>
      <c r="F26" s="1180">
        <v>0</v>
      </c>
    </row>
    <row r="27" spans="1:8">
      <c r="A27" s="1176">
        <v>2</v>
      </c>
      <c r="B27" s="1178" t="s">
        <v>307</v>
      </c>
      <c r="C27" s="1181">
        <f>SUM(D27:F27)</f>
        <v>0</v>
      </c>
      <c r="D27" s="1180">
        <v>0</v>
      </c>
      <c r="E27" s="1180">
        <v>0</v>
      </c>
      <c r="F27" s="1180">
        <v>0</v>
      </c>
    </row>
    <row r="28" spans="1:8">
      <c r="A28" s="1176">
        <v>3</v>
      </c>
      <c r="B28" s="1178" t="s">
        <v>20</v>
      </c>
      <c r="C28" s="1182">
        <f>SUM(C25:C27)</f>
        <v>0</v>
      </c>
      <c r="D28" s="1182">
        <f>SUM(D25:D27)</f>
        <v>0</v>
      </c>
      <c r="E28" s="1182">
        <f>SUM(E25:E27)</f>
        <v>0</v>
      </c>
      <c r="F28" s="1182">
        <f>SUM(F25:F27)</f>
        <v>0</v>
      </c>
    </row>
    <row r="29" spans="1:8">
      <c r="A29" s="1176">
        <v>4</v>
      </c>
      <c r="B29" s="1178" t="s">
        <v>308</v>
      </c>
      <c r="C29" s="1178"/>
      <c r="D29" s="1178"/>
      <c r="E29" s="1178"/>
      <c r="F29" s="1178"/>
    </row>
    <row r="30" spans="1:8">
      <c r="A30" s="1176">
        <v>5</v>
      </c>
      <c r="B30" s="1178" t="s">
        <v>314</v>
      </c>
      <c r="C30" s="1183">
        <f>SUM(D30:F30)</f>
        <v>0</v>
      </c>
      <c r="D30" s="1184">
        <v>0</v>
      </c>
      <c r="E30" s="1184">
        <v>0</v>
      </c>
      <c r="F30" s="1184">
        <v>0</v>
      </c>
    </row>
    <row r="31" spans="1:8">
      <c r="A31" s="1176">
        <v>6</v>
      </c>
      <c r="B31" s="1178" t="s">
        <v>485</v>
      </c>
      <c r="C31" s="1185">
        <f>SUM(D31:F31)</f>
        <v>0</v>
      </c>
      <c r="D31" s="1184">
        <v>0</v>
      </c>
      <c r="E31" s="1184">
        <v>0</v>
      </c>
      <c r="F31" s="1184">
        <v>0</v>
      </c>
    </row>
    <row r="32" spans="1:8" ht="15.75">
      <c r="A32" s="1176">
        <v>7</v>
      </c>
      <c r="B32" s="1186" t="s">
        <v>309</v>
      </c>
      <c r="C32" s="1185">
        <f>+C28-C30-C31</f>
        <v>0</v>
      </c>
      <c r="D32" s="1185">
        <f>+D28-D30-D31</f>
        <v>0</v>
      </c>
      <c r="E32" s="1185">
        <f>+E28-E30-E31</f>
        <v>0</v>
      </c>
      <c r="F32" s="1185">
        <f>+F28-F30-F31</f>
        <v>0</v>
      </c>
    </row>
    <row r="33" spans="1:8">
      <c r="A33" s="1176">
        <v>8</v>
      </c>
      <c r="B33" s="1178" t="s">
        <v>313</v>
      </c>
      <c r="C33" s="1184">
        <v>0</v>
      </c>
      <c r="D33" s="1184">
        <v>0</v>
      </c>
      <c r="E33" s="1184">
        <v>0</v>
      </c>
      <c r="F33" s="1184">
        <v>0</v>
      </c>
    </row>
    <row r="34" spans="1:8">
      <c r="A34" s="1187">
        <v>9</v>
      </c>
      <c r="B34" s="1161" t="str">
        <f>+B45</f>
        <v>Total</v>
      </c>
      <c r="C34" s="1188">
        <f>SUM(C32:C33)</f>
        <v>0</v>
      </c>
      <c r="D34" s="1162"/>
      <c r="E34" s="1161"/>
      <c r="F34" s="1161"/>
      <c r="G34" s="199"/>
      <c r="H34" s="199"/>
    </row>
    <row r="35" spans="1:8">
      <c r="A35" s="1187"/>
      <c r="B35" s="1161"/>
      <c r="C35" s="1161"/>
      <c r="D35" s="1162"/>
      <c r="E35" s="1161"/>
      <c r="F35" s="1161"/>
      <c r="G35" s="199"/>
      <c r="H35" s="199"/>
    </row>
    <row r="36" spans="1:8">
      <c r="A36" s="1189">
        <v>10</v>
      </c>
      <c r="B36" s="1159" t="s">
        <v>176</v>
      </c>
      <c r="C36" s="1190" t="s">
        <v>61</v>
      </c>
      <c r="D36" s="1161"/>
      <c r="E36" s="1161"/>
      <c r="F36" s="1161"/>
      <c r="G36" s="199"/>
      <c r="H36" s="199"/>
    </row>
    <row r="37" spans="1:8">
      <c r="A37" s="1189" t="s">
        <v>512</v>
      </c>
      <c r="B37" s="1159" t="s">
        <v>175</v>
      </c>
      <c r="C37" s="1164">
        <v>0</v>
      </c>
      <c r="D37" s="1161"/>
      <c r="E37" s="1161"/>
      <c r="F37" s="1161"/>
      <c r="G37" s="199"/>
      <c r="H37" s="199"/>
    </row>
    <row r="38" spans="1:8">
      <c r="A38" s="1189" t="s">
        <v>513</v>
      </c>
      <c r="B38" s="1159" t="s">
        <v>183</v>
      </c>
      <c r="C38" s="1164">
        <v>0</v>
      </c>
      <c r="D38" s="1161"/>
      <c r="E38" s="1161"/>
      <c r="F38" s="1161"/>
      <c r="G38" s="199"/>
      <c r="H38" s="199"/>
    </row>
    <row r="39" spans="1:8">
      <c r="A39" s="1189" t="s">
        <v>514</v>
      </c>
      <c r="B39" s="1159" t="s">
        <v>174</v>
      </c>
      <c r="C39" s="1164">
        <v>0</v>
      </c>
      <c r="D39" s="1161"/>
      <c r="E39" s="1161"/>
      <c r="F39" s="1161"/>
      <c r="G39" s="199"/>
      <c r="H39" s="199"/>
    </row>
    <row r="40" spans="1:8">
      <c r="A40" s="1189" t="s">
        <v>515</v>
      </c>
      <c r="B40" s="1159" t="s">
        <v>173</v>
      </c>
      <c r="C40" s="1164">
        <v>0</v>
      </c>
      <c r="D40" s="1161"/>
      <c r="E40" s="1161"/>
      <c r="F40" s="1161"/>
      <c r="G40" s="199"/>
      <c r="H40" s="199"/>
    </row>
    <row r="41" spans="1:8">
      <c r="A41" s="1189" t="s">
        <v>516</v>
      </c>
      <c r="B41" s="1159" t="s">
        <v>172</v>
      </c>
      <c r="C41" s="1164">
        <v>0</v>
      </c>
      <c r="D41" s="1161"/>
      <c r="E41" s="1161"/>
      <c r="F41" s="1161"/>
      <c r="G41" s="199"/>
      <c r="H41" s="199"/>
    </row>
    <row r="42" spans="1:8">
      <c r="A42" s="1189" t="s">
        <v>517</v>
      </c>
      <c r="B42" s="1159" t="s">
        <v>171</v>
      </c>
      <c r="C42" s="1164">
        <v>0</v>
      </c>
      <c r="D42" s="1161"/>
      <c r="E42" s="1161"/>
      <c r="F42" s="1161"/>
      <c r="G42" s="199"/>
      <c r="H42" s="199"/>
    </row>
    <row r="43" spans="1:8">
      <c r="A43" s="1189" t="s">
        <v>518</v>
      </c>
      <c r="B43" s="1159" t="s">
        <v>170</v>
      </c>
      <c r="C43" s="1164">
        <v>0</v>
      </c>
      <c r="D43" s="1161"/>
      <c r="E43" s="1161"/>
      <c r="F43" s="1161"/>
      <c r="G43" s="199"/>
      <c r="H43" s="199"/>
    </row>
    <row r="44" spans="1:8">
      <c r="A44" s="1189" t="s">
        <v>519</v>
      </c>
      <c r="B44" s="1159" t="s">
        <v>169</v>
      </c>
      <c r="C44" s="1164">
        <v>0</v>
      </c>
      <c r="D44" s="1161"/>
      <c r="E44" s="1161"/>
      <c r="F44" s="1161"/>
      <c r="G44" s="199"/>
      <c r="H44" s="199"/>
    </row>
    <row r="45" spans="1:8">
      <c r="A45" s="1189">
        <v>11</v>
      </c>
      <c r="B45" s="1159" t="s">
        <v>20</v>
      </c>
      <c r="C45" s="1191">
        <f>SUM(C37:C44)</f>
        <v>0</v>
      </c>
      <c r="D45" s="1161"/>
      <c r="E45" s="1161"/>
      <c r="F45" s="1161"/>
      <c r="G45" s="199"/>
      <c r="H45" s="199"/>
    </row>
    <row r="46" spans="1:8" ht="12.75">
      <c r="A46" s="199"/>
      <c r="B46" s="199"/>
      <c r="C46" s="199"/>
      <c r="D46" s="450"/>
      <c r="E46" s="199"/>
      <c r="F46" s="199"/>
      <c r="G46" s="199"/>
      <c r="H46" s="199"/>
    </row>
    <row r="47" spans="1:8" ht="99" customHeight="1">
      <c r="A47" s="435"/>
      <c r="B47" s="1649"/>
      <c r="C47" s="1649"/>
      <c r="D47" s="1649"/>
      <c r="E47" s="1649"/>
      <c r="F47" s="1649"/>
    </row>
    <row r="122" spans="4:4">
      <c r="D122" s="194"/>
    </row>
    <row r="228" spans="8:8">
      <c r="H228" s="866">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N162"/>
  <sheetViews>
    <sheetView view="pageBreakPreview" zoomScale="85" zoomScaleNormal="75" zoomScaleSheetLayoutView="85" workbookViewId="0">
      <selection activeCell="C103" sqref="C103"/>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13" ht="22.5" customHeight="1">
      <c r="A1" s="1657" t="s">
        <v>388</v>
      </c>
      <c r="B1" s="1657"/>
      <c r="C1" s="1657"/>
      <c r="D1" s="1657"/>
      <c r="E1" s="1657"/>
      <c r="F1" s="1657"/>
      <c r="G1" s="742"/>
      <c r="H1" s="742"/>
      <c r="I1" s="742"/>
      <c r="J1" s="742"/>
      <c r="K1" s="742"/>
      <c r="L1" s="742"/>
      <c r="M1" s="742"/>
    </row>
    <row r="2" spans="1:13" ht="18">
      <c r="A2" s="1657" t="str">
        <f>'Appendix III'!$E$8</f>
        <v>MidAmerican Central California Transco, LLC</v>
      </c>
      <c r="B2" s="1657"/>
      <c r="C2" s="1657"/>
      <c r="D2" s="1657"/>
      <c r="E2" s="1657"/>
      <c r="F2" s="1657"/>
      <c r="G2" s="742"/>
      <c r="H2" s="742"/>
      <c r="I2" s="742"/>
      <c r="J2" s="742"/>
      <c r="K2" s="742"/>
      <c r="L2" s="742"/>
      <c r="M2" s="742"/>
    </row>
    <row r="4" spans="1:13" ht="13.5" thickBot="1">
      <c r="A4" s="220" t="s">
        <v>168</v>
      </c>
    </row>
    <row r="5" spans="1:13">
      <c r="A5" s="1654" t="s">
        <v>295</v>
      </c>
      <c r="B5" s="1655"/>
      <c r="C5" s="1655"/>
      <c r="D5" s="1655"/>
      <c r="E5" s="1655"/>
      <c r="F5" s="1656"/>
      <c r="G5" s="735"/>
      <c r="H5" s="735"/>
      <c r="I5" s="735"/>
      <c r="J5" s="1652"/>
      <c r="K5" s="1653"/>
      <c r="L5" s="1653"/>
      <c r="M5" s="1653"/>
    </row>
    <row r="6" spans="1:13">
      <c r="A6" s="209">
        <v>1</v>
      </c>
      <c r="B6" s="211"/>
      <c r="C6" s="217" t="s">
        <v>167</v>
      </c>
      <c r="D6" s="213" t="s">
        <v>144</v>
      </c>
      <c r="E6" s="210" t="s">
        <v>134</v>
      </c>
      <c r="F6" s="337" t="s">
        <v>129</v>
      </c>
      <c r="G6" s="736"/>
      <c r="H6" s="213"/>
      <c r="I6" s="213"/>
      <c r="J6" s="212"/>
      <c r="K6" s="212"/>
      <c r="L6" s="212"/>
      <c r="M6" s="212"/>
    </row>
    <row r="7" spans="1:13">
      <c r="A7" s="209">
        <f t="shared" ref="A7:A20" si="0">+A6+1</f>
        <v>2</v>
      </c>
      <c r="B7" s="208"/>
      <c r="C7" s="208" t="s">
        <v>145</v>
      </c>
      <c r="D7" s="253" t="s">
        <v>508</v>
      </c>
      <c r="E7" s="1496">
        <v>2019</v>
      </c>
      <c r="F7" s="189">
        <v>0</v>
      </c>
      <c r="G7" s="737"/>
      <c r="H7" s="210"/>
      <c r="I7" s="214"/>
      <c r="J7" s="212"/>
      <c r="K7" s="212"/>
      <c r="L7" s="212"/>
      <c r="M7" s="212"/>
    </row>
    <row r="8" spans="1:13">
      <c r="A8" s="209">
        <f t="shared" si="0"/>
        <v>3</v>
      </c>
      <c r="B8" s="211"/>
      <c r="C8" s="225" t="s">
        <v>155</v>
      </c>
      <c r="D8" s="213" t="s">
        <v>146</v>
      </c>
      <c r="E8" s="1496">
        <v>2020</v>
      </c>
      <c r="F8" s="189">
        <v>0</v>
      </c>
      <c r="G8" s="738"/>
      <c r="H8" s="213"/>
      <c r="I8" s="213"/>
      <c r="J8" s="212"/>
      <c r="K8" s="212"/>
      <c r="L8" s="212"/>
      <c r="M8" s="212"/>
    </row>
    <row r="9" spans="1:13">
      <c r="A9" s="209">
        <f t="shared" si="0"/>
        <v>4</v>
      </c>
      <c r="B9" s="323"/>
      <c r="C9" s="226" t="s">
        <v>154</v>
      </c>
      <c r="D9" s="213" t="s">
        <v>146</v>
      </c>
      <c r="E9" s="1496">
        <f>+$E$8</f>
        <v>2020</v>
      </c>
      <c r="F9" s="189">
        <v>0</v>
      </c>
      <c r="G9" s="737"/>
      <c r="H9" s="210"/>
      <c r="I9" s="210"/>
      <c r="J9" s="212"/>
      <c r="K9" s="212"/>
      <c r="L9" s="212"/>
      <c r="M9" s="212"/>
    </row>
    <row r="10" spans="1:13">
      <c r="A10" s="209">
        <f t="shared" si="0"/>
        <v>5</v>
      </c>
      <c r="B10" s="323"/>
      <c r="C10" s="226" t="s">
        <v>153</v>
      </c>
      <c r="D10" s="213" t="s">
        <v>146</v>
      </c>
      <c r="E10" s="1496">
        <f t="shared" ref="E10:E19" si="1">+$E$8</f>
        <v>2020</v>
      </c>
      <c r="F10" s="189">
        <v>0</v>
      </c>
      <c r="G10" s="737"/>
      <c r="H10" s="210"/>
      <c r="I10" s="210"/>
      <c r="J10" s="212"/>
      <c r="K10" s="212"/>
      <c r="L10" s="212"/>
      <c r="M10" s="212"/>
    </row>
    <row r="11" spans="1:13">
      <c r="A11" s="209">
        <f t="shared" si="0"/>
        <v>6</v>
      </c>
      <c r="B11" s="213"/>
      <c r="C11" s="225" t="s">
        <v>133</v>
      </c>
      <c r="D11" s="213" t="s">
        <v>146</v>
      </c>
      <c r="E11" s="1496">
        <f t="shared" si="1"/>
        <v>2020</v>
      </c>
      <c r="F11" s="189">
        <v>0</v>
      </c>
      <c r="G11" s="737"/>
      <c r="H11" s="210"/>
      <c r="I11" s="210"/>
      <c r="J11" s="212"/>
      <c r="K11" s="212"/>
      <c r="L11" s="212"/>
      <c r="M11" s="212"/>
    </row>
    <row r="12" spans="1:13">
      <c r="A12" s="209">
        <f t="shared" si="0"/>
        <v>7</v>
      </c>
      <c r="B12" s="211"/>
      <c r="C12" s="226" t="s">
        <v>130</v>
      </c>
      <c r="D12" s="213" t="s">
        <v>146</v>
      </c>
      <c r="E12" s="1496">
        <f t="shared" si="1"/>
        <v>2020</v>
      </c>
      <c r="F12" s="189">
        <v>0</v>
      </c>
      <c r="G12" s="232"/>
      <c r="H12" s="213"/>
      <c r="I12" s="213"/>
      <c r="J12" s="213"/>
      <c r="K12" s="213"/>
      <c r="L12" s="213"/>
      <c r="M12" s="213"/>
    </row>
    <row r="13" spans="1:13">
      <c r="A13" s="209">
        <f t="shared" si="0"/>
        <v>8</v>
      </c>
      <c r="B13" s="213"/>
      <c r="C13" s="226" t="s">
        <v>152</v>
      </c>
      <c r="D13" s="213" t="s">
        <v>146</v>
      </c>
      <c r="E13" s="1496">
        <f t="shared" si="1"/>
        <v>2020</v>
      </c>
      <c r="F13" s="189">
        <v>0</v>
      </c>
      <c r="G13" s="737"/>
      <c r="H13" s="210"/>
      <c r="I13" s="214"/>
      <c r="J13" s="212"/>
      <c r="K13" s="212"/>
      <c r="L13" s="212"/>
      <c r="M13" s="212"/>
    </row>
    <row r="14" spans="1:13">
      <c r="A14" s="209">
        <f t="shared" si="0"/>
        <v>9</v>
      </c>
      <c r="B14" s="211"/>
      <c r="C14" s="225" t="s">
        <v>151</v>
      </c>
      <c r="D14" s="213" t="s">
        <v>146</v>
      </c>
      <c r="E14" s="1496">
        <f t="shared" si="1"/>
        <v>2020</v>
      </c>
      <c r="F14" s="189">
        <v>0</v>
      </c>
      <c r="G14" s="738"/>
      <c r="H14" s="213"/>
      <c r="I14" s="213"/>
      <c r="J14" s="212"/>
      <c r="K14" s="212"/>
      <c r="L14" s="212"/>
      <c r="M14" s="212"/>
    </row>
    <row r="15" spans="1:13">
      <c r="A15" s="209">
        <f t="shared" si="0"/>
        <v>10</v>
      </c>
      <c r="B15" s="323"/>
      <c r="C15" s="226" t="s">
        <v>150</v>
      </c>
      <c r="D15" s="213" t="s">
        <v>146</v>
      </c>
      <c r="E15" s="1496">
        <f t="shared" si="1"/>
        <v>2020</v>
      </c>
      <c r="F15" s="189">
        <v>0</v>
      </c>
      <c r="G15" s="737"/>
      <c r="H15" s="210"/>
      <c r="I15" s="210"/>
      <c r="J15" s="212"/>
      <c r="K15" s="212"/>
      <c r="L15" s="212"/>
      <c r="M15" s="212"/>
    </row>
    <row r="16" spans="1:13">
      <c r="A16" s="209">
        <f t="shared" si="0"/>
        <v>11</v>
      </c>
      <c r="B16" s="323"/>
      <c r="C16" s="226" t="s">
        <v>149</v>
      </c>
      <c r="D16" s="213" t="s">
        <v>146</v>
      </c>
      <c r="E16" s="1496">
        <f t="shared" si="1"/>
        <v>2020</v>
      </c>
      <c r="F16" s="189">
        <v>0</v>
      </c>
      <c r="G16" s="737"/>
      <c r="H16" s="210"/>
      <c r="I16" s="210"/>
      <c r="J16" s="212"/>
      <c r="K16" s="212"/>
      <c r="L16" s="212"/>
      <c r="M16" s="212"/>
    </row>
    <row r="17" spans="1:13">
      <c r="A17" s="209">
        <f t="shared" si="0"/>
        <v>12</v>
      </c>
      <c r="B17" s="213"/>
      <c r="C17" s="225" t="s">
        <v>148</v>
      </c>
      <c r="D17" s="213" t="s">
        <v>146</v>
      </c>
      <c r="E17" s="1496">
        <f t="shared" si="1"/>
        <v>2020</v>
      </c>
      <c r="F17" s="189">
        <v>0</v>
      </c>
      <c r="G17" s="737"/>
      <c r="H17" s="210"/>
      <c r="I17" s="210"/>
      <c r="J17" s="212"/>
      <c r="K17" s="212"/>
      <c r="L17" s="212"/>
      <c r="M17" s="212"/>
    </row>
    <row r="18" spans="1:13">
      <c r="A18" s="209">
        <f t="shared" si="0"/>
        <v>13</v>
      </c>
      <c r="B18" s="213"/>
      <c r="C18" s="225" t="s">
        <v>147</v>
      </c>
      <c r="D18" s="213" t="s">
        <v>146</v>
      </c>
      <c r="E18" s="1496">
        <f t="shared" si="1"/>
        <v>2020</v>
      </c>
      <c r="F18" s="189">
        <v>0</v>
      </c>
      <c r="G18" s="737"/>
      <c r="H18" s="210"/>
      <c r="I18" s="210"/>
      <c r="J18" s="212"/>
      <c r="K18" s="212"/>
      <c r="L18" s="212"/>
      <c r="M18" s="212"/>
    </row>
    <row r="19" spans="1:13">
      <c r="A19" s="209">
        <f t="shared" si="0"/>
        <v>14</v>
      </c>
      <c r="B19" s="211"/>
      <c r="C19" s="223" t="s">
        <v>145</v>
      </c>
      <c r="D19" s="715" t="s">
        <v>509</v>
      </c>
      <c r="E19" s="1497">
        <f t="shared" si="1"/>
        <v>2020</v>
      </c>
      <c r="F19" s="190">
        <v>0</v>
      </c>
      <c r="G19" s="739"/>
      <c r="H19" s="334"/>
      <c r="I19" s="213"/>
      <c r="J19" s="213"/>
      <c r="K19" s="213"/>
      <c r="L19" s="213"/>
      <c r="M19" s="213"/>
    </row>
    <row r="20" spans="1:13">
      <c r="A20" s="209">
        <f t="shared" si="0"/>
        <v>15</v>
      </c>
      <c r="B20" s="213"/>
      <c r="C20" s="257" t="s">
        <v>186</v>
      </c>
      <c r="D20" s="213" t="str">
        <f>"(sum lines "&amp;A7&amp;"-"&amp;A19&amp;") /13"</f>
        <v>(sum lines 2-14) /13</v>
      </c>
      <c r="E20" s="255"/>
      <c r="F20" s="332">
        <f>SUM(F7:F19)/13</f>
        <v>0</v>
      </c>
      <c r="G20" s="740"/>
      <c r="H20" s="213"/>
      <c r="I20" s="213"/>
      <c r="J20" s="212"/>
      <c r="K20" s="212"/>
      <c r="L20" s="212"/>
      <c r="M20" s="212"/>
    </row>
    <row r="21" spans="1:13">
      <c r="A21" s="209"/>
      <c r="B21" s="323"/>
      <c r="C21" s="226"/>
      <c r="D21" s="213"/>
      <c r="E21" s="597"/>
      <c r="F21" s="333"/>
      <c r="G21" s="737"/>
      <c r="H21" s="210"/>
      <c r="I21" s="210"/>
      <c r="J21" s="212"/>
      <c r="K21" s="212"/>
      <c r="L21" s="212"/>
      <c r="M21" s="212"/>
    </row>
    <row r="22" spans="1:13">
      <c r="A22" s="209">
        <f>+A20+1</f>
        <v>16</v>
      </c>
      <c r="B22" s="211"/>
      <c r="C22" s="217" t="s">
        <v>166</v>
      </c>
      <c r="D22" s="213" t="s">
        <v>144</v>
      </c>
      <c r="E22" s="598"/>
      <c r="F22" s="325"/>
      <c r="G22" s="232"/>
      <c r="H22" s="213"/>
      <c r="I22" s="213"/>
      <c r="J22" s="212"/>
      <c r="K22" s="212"/>
      <c r="L22" s="212"/>
      <c r="M22" s="212"/>
    </row>
    <row r="23" spans="1:13">
      <c r="A23" s="209">
        <f>+A22+1</f>
        <v>17</v>
      </c>
      <c r="B23" s="208"/>
      <c r="C23" s="208" t="s">
        <v>145</v>
      </c>
      <c r="D23" s="253" t="s">
        <v>274</v>
      </c>
      <c r="E23" s="1496">
        <f>+$E$7</f>
        <v>2019</v>
      </c>
      <c r="F23" s="189">
        <v>0</v>
      </c>
      <c r="G23" s="737"/>
      <c r="H23" s="208"/>
      <c r="I23" s="208"/>
      <c r="J23" s="212"/>
      <c r="K23" s="212"/>
      <c r="L23" s="212"/>
      <c r="M23" s="212"/>
    </row>
    <row r="24" spans="1:13">
      <c r="A24" s="209">
        <f t="shared" ref="A24:A35" si="2">+A23+1</f>
        <v>18</v>
      </c>
      <c r="B24" s="208"/>
      <c r="C24" s="225" t="s">
        <v>155</v>
      </c>
      <c r="D24" s="213" t="s">
        <v>146</v>
      </c>
      <c r="E24" s="1496">
        <f>+$E$8</f>
        <v>2020</v>
      </c>
      <c r="F24" s="189">
        <v>0</v>
      </c>
      <c r="G24" s="737"/>
      <c r="H24" s="208"/>
      <c r="I24" s="208"/>
      <c r="J24" s="212"/>
      <c r="K24" s="212"/>
      <c r="L24" s="212"/>
      <c r="M24" s="212"/>
    </row>
    <row r="25" spans="1:13">
      <c r="A25" s="209">
        <f t="shared" si="2"/>
        <v>19</v>
      </c>
      <c r="B25" s="208"/>
      <c r="C25" s="226" t="s">
        <v>154</v>
      </c>
      <c r="D25" s="213" t="s">
        <v>146</v>
      </c>
      <c r="E25" s="1496">
        <f t="shared" ref="E25:E35" si="3">+$E$8</f>
        <v>2020</v>
      </c>
      <c r="F25" s="189">
        <v>0</v>
      </c>
      <c r="G25" s="737"/>
      <c r="H25" s="208"/>
      <c r="I25" s="208"/>
      <c r="J25" s="212"/>
      <c r="K25" s="212"/>
      <c r="L25" s="212"/>
      <c r="M25" s="212"/>
    </row>
    <row r="26" spans="1:13">
      <c r="A26" s="209">
        <f t="shared" si="2"/>
        <v>20</v>
      </c>
      <c r="B26" s="208"/>
      <c r="C26" s="226" t="s">
        <v>153</v>
      </c>
      <c r="D26" s="213" t="s">
        <v>146</v>
      </c>
      <c r="E26" s="1496">
        <f t="shared" si="3"/>
        <v>2020</v>
      </c>
      <c r="F26" s="189">
        <v>0</v>
      </c>
      <c r="G26" s="737"/>
      <c r="H26" s="208"/>
      <c r="I26" s="208"/>
      <c r="J26" s="212"/>
      <c r="K26" s="212"/>
      <c r="L26" s="212"/>
      <c r="M26" s="212"/>
    </row>
    <row r="27" spans="1:13">
      <c r="A27" s="209">
        <f t="shared" si="2"/>
        <v>21</v>
      </c>
      <c r="B27" s="208"/>
      <c r="C27" s="225" t="s">
        <v>133</v>
      </c>
      <c r="D27" s="213" t="s">
        <v>146</v>
      </c>
      <c r="E27" s="1496">
        <f t="shared" si="3"/>
        <v>2020</v>
      </c>
      <c r="F27" s="189">
        <v>0</v>
      </c>
      <c r="G27" s="737"/>
      <c r="H27" s="208"/>
      <c r="I27" s="208"/>
      <c r="J27" s="212"/>
      <c r="K27" s="212"/>
      <c r="L27" s="212"/>
      <c r="M27" s="212"/>
    </row>
    <row r="28" spans="1:13">
      <c r="A28" s="209">
        <f t="shared" si="2"/>
        <v>22</v>
      </c>
      <c r="B28" s="208"/>
      <c r="C28" s="226" t="s">
        <v>130</v>
      </c>
      <c r="D28" s="213" t="s">
        <v>146</v>
      </c>
      <c r="E28" s="1496">
        <f t="shared" si="3"/>
        <v>2020</v>
      </c>
      <c r="F28" s="189">
        <v>0</v>
      </c>
      <c r="G28" s="737"/>
      <c r="H28" s="208"/>
      <c r="I28" s="208"/>
      <c r="J28" s="212"/>
      <c r="K28" s="212"/>
      <c r="L28" s="212"/>
      <c r="M28" s="212"/>
    </row>
    <row r="29" spans="1:13">
      <c r="A29" s="209">
        <f t="shared" si="2"/>
        <v>23</v>
      </c>
      <c r="B29" s="208"/>
      <c r="C29" s="226" t="s">
        <v>152</v>
      </c>
      <c r="D29" s="213" t="s">
        <v>146</v>
      </c>
      <c r="E29" s="1496">
        <f t="shared" si="3"/>
        <v>2020</v>
      </c>
      <c r="F29" s="189">
        <v>0</v>
      </c>
      <c r="G29" s="737"/>
      <c r="H29" s="208"/>
      <c r="I29" s="208"/>
      <c r="J29" s="212"/>
      <c r="K29" s="212"/>
      <c r="L29" s="212"/>
      <c r="M29" s="212"/>
    </row>
    <row r="30" spans="1:13">
      <c r="A30" s="209">
        <f t="shared" si="2"/>
        <v>24</v>
      </c>
      <c r="B30" s="208"/>
      <c r="C30" s="225" t="s">
        <v>151</v>
      </c>
      <c r="D30" s="213" t="s">
        <v>146</v>
      </c>
      <c r="E30" s="1496">
        <f t="shared" si="3"/>
        <v>2020</v>
      </c>
      <c r="F30" s="189">
        <v>0</v>
      </c>
      <c r="G30" s="737"/>
      <c r="H30" s="208"/>
      <c r="I30" s="208"/>
      <c r="J30" s="212"/>
      <c r="K30" s="212"/>
      <c r="L30" s="212"/>
      <c r="M30" s="212"/>
    </row>
    <row r="31" spans="1:13">
      <c r="A31" s="209">
        <f t="shared" si="2"/>
        <v>25</v>
      </c>
      <c r="B31" s="208"/>
      <c r="C31" s="226" t="s">
        <v>150</v>
      </c>
      <c r="D31" s="213" t="s">
        <v>146</v>
      </c>
      <c r="E31" s="1496">
        <f t="shared" si="3"/>
        <v>2020</v>
      </c>
      <c r="F31" s="189">
        <v>0</v>
      </c>
      <c r="G31" s="737"/>
      <c r="H31" s="208"/>
      <c r="I31" s="208"/>
      <c r="J31" s="212"/>
      <c r="K31" s="212"/>
      <c r="L31" s="212"/>
      <c r="M31" s="212"/>
    </row>
    <row r="32" spans="1:13">
      <c r="A32" s="209">
        <f t="shared" si="2"/>
        <v>26</v>
      </c>
      <c r="B32" s="208"/>
      <c r="C32" s="226" t="s">
        <v>149</v>
      </c>
      <c r="D32" s="213" t="s">
        <v>146</v>
      </c>
      <c r="E32" s="1496">
        <f t="shared" si="3"/>
        <v>2020</v>
      </c>
      <c r="F32" s="189">
        <v>0</v>
      </c>
      <c r="G32" s="737"/>
      <c r="H32" s="208"/>
      <c r="I32" s="208"/>
      <c r="J32" s="212"/>
      <c r="K32" s="212"/>
      <c r="L32" s="212"/>
      <c r="M32" s="212"/>
    </row>
    <row r="33" spans="1:13">
      <c r="A33" s="209">
        <f t="shared" si="2"/>
        <v>27</v>
      </c>
      <c r="B33" s="208"/>
      <c r="C33" s="225" t="s">
        <v>160</v>
      </c>
      <c r="D33" s="213" t="s">
        <v>146</v>
      </c>
      <c r="E33" s="1496">
        <f t="shared" si="3"/>
        <v>2020</v>
      </c>
      <c r="F33" s="189">
        <v>0</v>
      </c>
      <c r="G33" s="737"/>
      <c r="H33" s="208"/>
      <c r="I33" s="208"/>
      <c r="J33" s="212"/>
      <c r="K33" s="212"/>
      <c r="L33" s="212"/>
      <c r="M33" s="212"/>
    </row>
    <row r="34" spans="1:13">
      <c r="A34" s="209">
        <f t="shared" si="2"/>
        <v>28</v>
      </c>
      <c r="B34" s="208"/>
      <c r="C34" s="225" t="s">
        <v>147</v>
      </c>
      <c r="D34" s="213" t="s">
        <v>146</v>
      </c>
      <c r="E34" s="1496">
        <f t="shared" si="3"/>
        <v>2020</v>
      </c>
      <c r="F34" s="189">
        <v>0</v>
      </c>
      <c r="G34" s="737"/>
      <c r="H34" s="208"/>
      <c r="I34" s="208"/>
      <c r="J34" s="212"/>
      <c r="K34" s="212"/>
      <c r="L34" s="212"/>
      <c r="M34" s="212"/>
    </row>
    <row r="35" spans="1:13">
      <c r="A35" s="209">
        <f t="shared" si="2"/>
        <v>29</v>
      </c>
      <c r="B35" s="211"/>
      <c r="C35" s="223" t="s">
        <v>145</v>
      </c>
      <c r="D35" s="715" t="s">
        <v>275</v>
      </c>
      <c r="E35" s="1497">
        <f t="shared" si="3"/>
        <v>2020</v>
      </c>
      <c r="F35" s="190">
        <v>0</v>
      </c>
      <c r="G35" s="739"/>
      <c r="H35" s="210"/>
      <c r="I35" s="213"/>
      <c r="J35" s="213"/>
      <c r="K35" s="213"/>
      <c r="L35" s="213"/>
      <c r="M35" s="213"/>
    </row>
    <row r="36" spans="1:13">
      <c r="A36" s="209">
        <f>+A35+1</f>
        <v>30</v>
      </c>
      <c r="B36" s="213"/>
      <c r="C36" s="257" t="s">
        <v>165</v>
      </c>
      <c r="D36" s="213" t="str">
        <f>"(sum lines "&amp;A23&amp;" - "&amp;A35&amp;") /13"</f>
        <v>(sum lines 17 - 29) /13</v>
      </c>
      <c r="E36" s="597"/>
      <c r="F36" s="332">
        <f>SUM(F23:F35)/13</f>
        <v>0</v>
      </c>
      <c r="G36" s="740"/>
      <c r="H36" s="213"/>
      <c r="I36" s="330"/>
      <c r="J36" s="212"/>
      <c r="K36" s="212"/>
      <c r="L36" s="212"/>
      <c r="M36" s="212"/>
    </row>
    <row r="37" spans="1:13">
      <c r="A37" s="209"/>
      <c r="B37" s="213"/>
      <c r="C37" s="225"/>
      <c r="D37" s="213"/>
      <c r="E37" s="599"/>
      <c r="F37" s="336"/>
      <c r="G37" s="737"/>
      <c r="H37" s="210"/>
      <c r="I37" s="210"/>
      <c r="J37" s="212"/>
      <c r="K37" s="212"/>
      <c r="L37" s="212"/>
      <c r="M37" s="212"/>
    </row>
    <row r="38" spans="1:13">
      <c r="A38" s="209">
        <f>+A36+1</f>
        <v>31</v>
      </c>
      <c r="B38" s="211"/>
      <c r="C38" s="217" t="s">
        <v>164</v>
      </c>
      <c r="D38" s="213" t="s">
        <v>144</v>
      </c>
      <c r="E38" s="598"/>
      <c r="F38" s="325"/>
      <c r="G38" s="232"/>
      <c r="H38" s="213"/>
      <c r="I38" s="213"/>
      <c r="J38" s="212"/>
      <c r="K38" s="212"/>
      <c r="L38" s="212"/>
      <c r="M38" s="212"/>
    </row>
    <row r="39" spans="1:13">
      <c r="A39" s="209">
        <f>+A38+1</f>
        <v>32</v>
      </c>
      <c r="B39" s="208"/>
      <c r="C39" s="208" t="s">
        <v>145</v>
      </c>
      <c r="D39" s="253" t="s">
        <v>510</v>
      </c>
      <c r="E39" s="1496">
        <f>+$E$7</f>
        <v>2019</v>
      </c>
      <c r="F39" s="189">
        <v>0</v>
      </c>
      <c r="G39" s="737"/>
      <c r="H39" s="210"/>
      <c r="I39" s="214"/>
      <c r="J39" s="212"/>
      <c r="K39" s="212"/>
      <c r="L39" s="212"/>
      <c r="M39" s="212"/>
    </row>
    <row r="40" spans="1:13">
      <c r="A40" s="209">
        <f t="shared" ref="A40:A50" si="4">+A39+1</f>
        <v>33</v>
      </c>
      <c r="B40" s="208"/>
      <c r="C40" s="225" t="s">
        <v>155</v>
      </c>
      <c r="D40" s="213" t="s">
        <v>146</v>
      </c>
      <c r="E40" s="1496">
        <f>+$E$8</f>
        <v>2020</v>
      </c>
      <c r="F40" s="189">
        <v>0</v>
      </c>
      <c r="G40" s="737"/>
      <c r="H40" s="210"/>
      <c r="I40" s="214"/>
      <c r="J40" s="212"/>
      <c r="K40" s="212"/>
      <c r="L40" s="212"/>
      <c r="M40" s="212"/>
    </row>
    <row r="41" spans="1:13">
      <c r="A41" s="209">
        <f t="shared" si="4"/>
        <v>34</v>
      </c>
      <c r="B41" s="208"/>
      <c r="C41" s="226" t="s">
        <v>154</v>
      </c>
      <c r="D41" s="213" t="s">
        <v>146</v>
      </c>
      <c r="E41" s="1496">
        <f t="shared" ref="E41:E51" si="5">+$E$8</f>
        <v>2020</v>
      </c>
      <c r="F41" s="189">
        <v>0</v>
      </c>
      <c r="G41" s="737"/>
      <c r="H41" s="210"/>
      <c r="I41" s="214"/>
      <c r="J41" s="212"/>
      <c r="K41" s="212"/>
      <c r="L41" s="212"/>
      <c r="M41" s="212"/>
    </row>
    <row r="42" spans="1:13">
      <c r="A42" s="209">
        <f t="shared" si="4"/>
        <v>35</v>
      </c>
      <c r="B42" s="208"/>
      <c r="C42" s="226" t="s">
        <v>153</v>
      </c>
      <c r="D42" s="213" t="s">
        <v>146</v>
      </c>
      <c r="E42" s="1496">
        <f t="shared" si="5"/>
        <v>2020</v>
      </c>
      <c r="F42" s="189">
        <v>0</v>
      </c>
      <c r="G42" s="737"/>
      <c r="H42" s="210"/>
      <c r="I42" s="214"/>
      <c r="J42" s="212"/>
      <c r="K42" s="212"/>
      <c r="L42" s="212"/>
      <c r="M42" s="212"/>
    </row>
    <row r="43" spans="1:13">
      <c r="A43" s="209">
        <f t="shared" si="4"/>
        <v>36</v>
      </c>
      <c r="B43" s="208"/>
      <c r="C43" s="225" t="s">
        <v>133</v>
      </c>
      <c r="D43" s="213" t="s">
        <v>146</v>
      </c>
      <c r="E43" s="1496">
        <f t="shared" si="5"/>
        <v>2020</v>
      </c>
      <c r="F43" s="189">
        <v>0</v>
      </c>
      <c r="G43" s="737"/>
      <c r="H43" s="210"/>
      <c r="I43" s="214"/>
      <c r="J43" s="212"/>
      <c r="K43" s="212"/>
      <c r="L43" s="212"/>
      <c r="M43" s="212"/>
    </row>
    <row r="44" spans="1:13">
      <c r="A44" s="209">
        <f t="shared" si="4"/>
        <v>37</v>
      </c>
      <c r="B44" s="208"/>
      <c r="C44" s="226" t="s">
        <v>130</v>
      </c>
      <c r="D44" s="213" t="s">
        <v>146</v>
      </c>
      <c r="E44" s="1496">
        <f t="shared" si="5"/>
        <v>2020</v>
      </c>
      <c r="F44" s="189">
        <v>0</v>
      </c>
      <c r="G44" s="737"/>
      <c r="H44" s="210"/>
      <c r="I44" s="214"/>
      <c r="J44" s="212"/>
      <c r="K44" s="212"/>
      <c r="L44" s="212"/>
      <c r="M44" s="212"/>
    </row>
    <row r="45" spans="1:13">
      <c r="A45" s="209">
        <f t="shared" si="4"/>
        <v>38</v>
      </c>
      <c r="B45" s="208"/>
      <c r="C45" s="226" t="s">
        <v>152</v>
      </c>
      <c r="D45" s="213" t="s">
        <v>146</v>
      </c>
      <c r="E45" s="1496">
        <f t="shared" si="5"/>
        <v>2020</v>
      </c>
      <c r="F45" s="189">
        <v>0</v>
      </c>
      <c r="G45" s="737"/>
      <c r="H45" s="210"/>
      <c r="I45" s="214"/>
      <c r="J45" s="212"/>
      <c r="K45" s="212"/>
      <c r="L45" s="212"/>
      <c r="M45" s="212"/>
    </row>
    <row r="46" spans="1:13">
      <c r="A46" s="209">
        <f t="shared" si="4"/>
        <v>39</v>
      </c>
      <c r="B46" s="208"/>
      <c r="C46" s="225" t="s">
        <v>151</v>
      </c>
      <c r="D46" s="213" t="s">
        <v>146</v>
      </c>
      <c r="E46" s="1496">
        <f t="shared" si="5"/>
        <v>2020</v>
      </c>
      <c r="F46" s="189">
        <v>0</v>
      </c>
      <c r="G46" s="737"/>
      <c r="H46" s="210"/>
      <c r="I46" s="214"/>
      <c r="J46" s="212"/>
      <c r="K46" s="212"/>
      <c r="L46" s="212"/>
      <c r="M46" s="212"/>
    </row>
    <row r="47" spans="1:13">
      <c r="A47" s="209">
        <f t="shared" si="4"/>
        <v>40</v>
      </c>
      <c r="B47" s="208"/>
      <c r="C47" s="226" t="s">
        <v>150</v>
      </c>
      <c r="D47" s="213" t="s">
        <v>146</v>
      </c>
      <c r="E47" s="1496">
        <f t="shared" si="5"/>
        <v>2020</v>
      </c>
      <c r="F47" s="189">
        <v>0</v>
      </c>
      <c r="G47" s="737"/>
      <c r="H47" s="210"/>
      <c r="I47" s="214"/>
      <c r="J47" s="212"/>
      <c r="K47" s="212"/>
      <c r="L47" s="212"/>
      <c r="M47" s="212"/>
    </row>
    <row r="48" spans="1:13">
      <c r="A48" s="209">
        <f t="shared" si="4"/>
        <v>41</v>
      </c>
      <c r="B48" s="208"/>
      <c r="C48" s="226" t="s">
        <v>149</v>
      </c>
      <c r="D48" s="213" t="s">
        <v>146</v>
      </c>
      <c r="E48" s="1496">
        <f t="shared" si="5"/>
        <v>2020</v>
      </c>
      <c r="F48" s="189">
        <v>0</v>
      </c>
      <c r="G48" s="737"/>
      <c r="H48" s="210"/>
      <c r="I48" s="214"/>
      <c r="J48" s="212"/>
      <c r="K48" s="212"/>
      <c r="L48" s="212"/>
      <c r="M48" s="212"/>
    </row>
    <row r="49" spans="1:14">
      <c r="A49" s="209">
        <f t="shared" si="4"/>
        <v>42</v>
      </c>
      <c r="B49" s="208"/>
      <c r="C49" s="225" t="s">
        <v>160</v>
      </c>
      <c r="D49" s="213" t="s">
        <v>146</v>
      </c>
      <c r="E49" s="1496">
        <f t="shared" si="5"/>
        <v>2020</v>
      </c>
      <c r="F49" s="189">
        <v>0</v>
      </c>
      <c r="G49" s="737"/>
      <c r="H49" s="210"/>
      <c r="I49" s="214"/>
      <c r="J49" s="212"/>
      <c r="K49" s="212"/>
      <c r="L49" s="212"/>
      <c r="M49" s="212"/>
    </row>
    <row r="50" spans="1:14">
      <c r="A50" s="209">
        <f t="shared" si="4"/>
        <v>43</v>
      </c>
      <c r="B50" s="208"/>
      <c r="C50" s="225" t="s">
        <v>147</v>
      </c>
      <c r="D50" s="213" t="s">
        <v>146</v>
      </c>
      <c r="E50" s="1496">
        <f t="shared" si="5"/>
        <v>2020</v>
      </c>
      <c r="F50" s="189">
        <v>0</v>
      </c>
      <c r="G50" s="737"/>
      <c r="H50" s="210"/>
      <c r="I50" s="214"/>
      <c r="J50" s="212"/>
      <c r="K50" s="212"/>
      <c r="L50" s="212"/>
      <c r="M50" s="212"/>
    </row>
    <row r="51" spans="1:14">
      <c r="A51" s="209">
        <f>+A50+1</f>
        <v>44</v>
      </c>
      <c r="B51" s="211"/>
      <c r="C51" s="223" t="s">
        <v>145</v>
      </c>
      <c r="D51" s="715" t="s">
        <v>511</v>
      </c>
      <c r="E51" s="1497">
        <f t="shared" si="5"/>
        <v>2020</v>
      </c>
      <c r="F51" s="190">
        <v>0</v>
      </c>
      <c r="G51" s="739"/>
      <c r="H51" s="334"/>
      <c r="I51" s="213"/>
      <c r="J51" s="213"/>
      <c r="K51" s="213"/>
      <c r="L51" s="213"/>
      <c r="M51" s="213"/>
    </row>
    <row r="52" spans="1:14">
      <c r="A52" s="209">
        <f>+A51+1</f>
        <v>45</v>
      </c>
      <c r="B52" s="213"/>
      <c r="C52" s="257" t="s">
        <v>163</v>
      </c>
      <c r="D52" s="213" t="str">
        <f>"(sum lines "&amp;A39&amp;" - "&amp;A51&amp;") /13"</f>
        <v>(sum lines 32 - 44) /13</v>
      </c>
      <c r="E52" s="597"/>
      <c r="F52" s="332">
        <f>SUM(F39:F51)/13</f>
        <v>0</v>
      </c>
      <c r="G52" s="740"/>
      <c r="H52" s="213"/>
      <c r="I52" s="330"/>
      <c r="J52" s="212"/>
      <c r="K52" s="212"/>
      <c r="L52" s="212"/>
      <c r="M52" s="212"/>
    </row>
    <row r="53" spans="1:14">
      <c r="A53" s="209"/>
      <c r="B53" s="213"/>
      <c r="C53" s="226"/>
      <c r="D53" s="213"/>
      <c r="E53" s="269"/>
      <c r="F53" s="333"/>
      <c r="G53" s="737"/>
      <c r="H53" s="210"/>
      <c r="I53" s="214"/>
      <c r="J53" s="212"/>
      <c r="K53" s="212"/>
      <c r="L53" s="212"/>
      <c r="M53" s="212"/>
    </row>
    <row r="54" spans="1:14">
      <c r="A54" s="209">
        <f>+A52+1</f>
        <v>46</v>
      </c>
      <c r="B54" s="211"/>
      <c r="C54" s="328" t="s">
        <v>187</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1" t="s">
        <v>162</v>
      </c>
      <c r="B57" s="208"/>
      <c r="C57" s="208"/>
      <c r="D57" s="208"/>
      <c r="E57" s="208"/>
      <c r="F57" s="207"/>
      <c r="G57" s="208"/>
      <c r="H57" s="208"/>
      <c r="I57" s="208"/>
      <c r="J57" s="208"/>
      <c r="K57" s="208"/>
      <c r="L57" s="208"/>
      <c r="M57" s="208"/>
    </row>
    <row r="58" spans="1:14">
      <c r="A58" s="1654" t="s">
        <v>295</v>
      </c>
      <c r="B58" s="1655"/>
      <c r="C58" s="1655"/>
      <c r="D58" s="1655"/>
      <c r="E58" s="1655"/>
      <c r="F58" s="1656"/>
      <c r="G58" s="735"/>
      <c r="H58" s="735"/>
      <c r="I58" s="735"/>
      <c r="J58" s="1652"/>
      <c r="K58" s="1653"/>
      <c r="L58" s="1653"/>
      <c r="M58" s="1653"/>
    </row>
    <row r="59" spans="1:14">
      <c r="A59" s="209">
        <f>+A54+1</f>
        <v>47</v>
      </c>
      <c r="B59" s="211"/>
      <c r="C59" s="217" t="s">
        <v>161</v>
      </c>
      <c r="D59" s="213" t="s">
        <v>144</v>
      </c>
      <c r="E59" s="210" t="s">
        <v>134</v>
      </c>
      <c r="F59" s="337" t="s">
        <v>129</v>
      </c>
      <c r="G59" s="736"/>
      <c r="H59" s="213"/>
      <c r="I59" s="213"/>
      <c r="J59" s="212"/>
      <c r="K59" s="212"/>
      <c r="L59" s="212"/>
      <c r="M59" s="212"/>
    </row>
    <row r="60" spans="1:14" ht="15">
      <c r="A60" s="209">
        <f t="shared" ref="A60:A73" si="6">+A59+1</f>
        <v>48</v>
      </c>
      <c r="B60" s="208"/>
      <c r="C60" s="208" t="s">
        <v>145</v>
      </c>
      <c r="D60" s="172" t="s">
        <v>447</v>
      </c>
      <c r="E60" s="1496">
        <f>+$E$7</f>
        <v>2019</v>
      </c>
      <c r="F60" s="189">
        <v>0</v>
      </c>
      <c r="G60" s="737"/>
      <c r="H60" s="210"/>
      <c r="I60" s="214"/>
      <c r="J60" s="212"/>
      <c r="K60" s="212"/>
      <c r="L60" s="212"/>
      <c r="M60" s="212"/>
    </row>
    <row r="61" spans="1:14">
      <c r="A61" s="209">
        <f t="shared" si="6"/>
        <v>49</v>
      </c>
      <c r="B61" s="211"/>
      <c r="C61" s="225" t="s">
        <v>155</v>
      </c>
      <c r="D61" s="213" t="s">
        <v>146</v>
      </c>
      <c r="E61" s="1496">
        <f>+$E$8</f>
        <v>2020</v>
      </c>
      <c r="F61" s="189">
        <v>0</v>
      </c>
      <c r="G61" s="738"/>
      <c r="H61" s="213"/>
      <c r="I61" s="213"/>
      <c r="J61" s="212"/>
      <c r="K61" s="212"/>
      <c r="L61" s="212"/>
      <c r="M61" s="212"/>
    </row>
    <row r="62" spans="1:14">
      <c r="A62" s="209">
        <f t="shared" si="6"/>
        <v>50</v>
      </c>
      <c r="B62" s="323"/>
      <c r="C62" s="226" t="s">
        <v>154</v>
      </c>
      <c r="D62" s="213" t="s">
        <v>146</v>
      </c>
      <c r="E62" s="1496">
        <f t="shared" ref="E62:E72" si="7">+$E$8</f>
        <v>2020</v>
      </c>
      <c r="F62" s="189">
        <v>0</v>
      </c>
      <c r="G62" s="737"/>
      <c r="H62" s="210"/>
      <c r="I62" s="210"/>
      <c r="J62" s="212"/>
      <c r="K62" s="212"/>
      <c r="L62" s="212"/>
      <c r="M62" s="212"/>
    </row>
    <row r="63" spans="1:14">
      <c r="A63" s="209">
        <f t="shared" si="6"/>
        <v>51</v>
      </c>
      <c r="B63" s="323"/>
      <c r="C63" s="226" t="s">
        <v>153</v>
      </c>
      <c r="D63" s="213" t="s">
        <v>146</v>
      </c>
      <c r="E63" s="1496">
        <f t="shared" si="7"/>
        <v>2020</v>
      </c>
      <c r="F63" s="189">
        <v>0</v>
      </c>
      <c r="G63" s="737"/>
      <c r="H63" s="210"/>
      <c r="I63" s="210"/>
      <c r="J63" s="212"/>
      <c r="K63" s="212"/>
      <c r="L63" s="212"/>
      <c r="M63" s="212"/>
    </row>
    <row r="64" spans="1:14">
      <c r="A64" s="209">
        <f t="shared" si="6"/>
        <v>52</v>
      </c>
      <c r="B64" s="213"/>
      <c r="C64" s="225" t="s">
        <v>133</v>
      </c>
      <c r="D64" s="213" t="s">
        <v>146</v>
      </c>
      <c r="E64" s="1496">
        <f t="shared" si="7"/>
        <v>2020</v>
      </c>
      <c r="F64" s="189">
        <v>0</v>
      </c>
      <c r="G64" s="737"/>
      <c r="H64" s="210"/>
      <c r="I64" s="210"/>
      <c r="J64" s="212"/>
      <c r="K64" s="212"/>
      <c r="L64" s="212"/>
      <c r="M64" s="212"/>
    </row>
    <row r="65" spans="1:13">
      <c r="A65" s="209">
        <f t="shared" si="6"/>
        <v>53</v>
      </c>
      <c r="B65" s="211"/>
      <c r="C65" s="226" t="s">
        <v>130</v>
      </c>
      <c r="D65" s="213" t="s">
        <v>146</v>
      </c>
      <c r="E65" s="1496">
        <f t="shared" si="7"/>
        <v>2020</v>
      </c>
      <c r="F65" s="189">
        <v>0</v>
      </c>
      <c r="G65" s="232"/>
      <c r="H65" s="213"/>
      <c r="I65" s="213"/>
      <c r="J65" s="213"/>
      <c r="K65" s="213"/>
      <c r="L65" s="213"/>
      <c r="M65" s="213"/>
    </row>
    <row r="66" spans="1:13">
      <c r="A66" s="209">
        <f t="shared" si="6"/>
        <v>54</v>
      </c>
      <c r="B66" s="213"/>
      <c r="C66" s="226" t="s">
        <v>152</v>
      </c>
      <c r="D66" s="213" t="s">
        <v>146</v>
      </c>
      <c r="E66" s="1496">
        <f t="shared" si="7"/>
        <v>2020</v>
      </c>
      <c r="F66" s="189">
        <v>0</v>
      </c>
      <c r="G66" s="737"/>
      <c r="H66" s="210"/>
      <c r="I66" s="214"/>
      <c r="J66" s="212"/>
      <c r="K66" s="212"/>
      <c r="L66" s="212"/>
      <c r="M66" s="212"/>
    </row>
    <row r="67" spans="1:13">
      <c r="A67" s="209">
        <f t="shared" si="6"/>
        <v>55</v>
      </c>
      <c r="B67" s="211"/>
      <c r="C67" s="225" t="s">
        <v>151</v>
      </c>
      <c r="D67" s="213" t="s">
        <v>146</v>
      </c>
      <c r="E67" s="1496">
        <f t="shared" si="7"/>
        <v>2020</v>
      </c>
      <c r="F67" s="189">
        <v>0</v>
      </c>
      <c r="G67" s="738"/>
      <c r="H67" s="213"/>
      <c r="I67" s="213"/>
      <c r="J67" s="212"/>
      <c r="K67" s="212"/>
      <c r="L67" s="212"/>
      <c r="M67" s="212"/>
    </row>
    <row r="68" spans="1:13">
      <c r="A68" s="209">
        <f t="shared" si="6"/>
        <v>56</v>
      </c>
      <c r="B68" s="323"/>
      <c r="C68" s="226" t="s">
        <v>150</v>
      </c>
      <c r="D68" s="213" t="s">
        <v>146</v>
      </c>
      <c r="E68" s="1496">
        <f t="shared" si="7"/>
        <v>2020</v>
      </c>
      <c r="F68" s="189">
        <v>0</v>
      </c>
      <c r="G68" s="737"/>
      <c r="H68" s="210"/>
      <c r="I68" s="210"/>
      <c r="J68" s="212"/>
      <c r="K68" s="212"/>
      <c r="L68" s="212"/>
      <c r="M68" s="212"/>
    </row>
    <row r="69" spans="1:13">
      <c r="A69" s="209">
        <f t="shared" si="6"/>
        <v>57</v>
      </c>
      <c r="B69" s="323"/>
      <c r="C69" s="226" t="s">
        <v>149</v>
      </c>
      <c r="D69" s="213" t="s">
        <v>146</v>
      </c>
      <c r="E69" s="1496">
        <f t="shared" si="7"/>
        <v>2020</v>
      </c>
      <c r="F69" s="189">
        <v>0</v>
      </c>
      <c r="G69" s="737"/>
      <c r="H69" s="210"/>
      <c r="I69" s="210"/>
      <c r="J69" s="212"/>
      <c r="K69" s="212"/>
      <c r="L69" s="212"/>
      <c r="M69" s="212"/>
    </row>
    <row r="70" spans="1:13">
      <c r="A70" s="209">
        <f t="shared" si="6"/>
        <v>58</v>
      </c>
      <c r="B70" s="213"/>
      <c r="C70" s="225" t="s">
        <v>160</v>
      </c>
      <c r="D70" s="213" t="s">
        <v>146</v>
      </c>
      <c r="E70" s="1496">
        <f t="shared" si="7"/>
        <v>2020</v>
      </c>
      <c r="F70" s="189">
        <v>0</v>
      </c>
      <c r="G70" s="737"/>
      <c r="H70" s="210"/>
      <c r="I70" s="210"/>
      <c r="J70" s="212"/>
      <c r="K70" s="212"/>
      <c r="L70" s="212"/>
      <c r="M70" s="212"/>
    </row>
    <row r="71" spans="1:13">
      <c r="A71" s="209">
        <f t="shared" si="6"/>
        <v>59</v>
      </c>
      <c r="B71" s="213"/>
      <c r="C71" s="225" t="s">
        <v>147</v>
      </c>
      <c r="D71" s="213" t="s">
        <v>146</v>
      </c>
      <c r="E71" s="1496">
        <f t="shared" si="7"/>
        <v>2020</v>
      </c>
      <c r="F71" s="189">
        <v>0</v>
      </c>
      <c r="G71" s="232"/>
      <c r="H71" s="210"/>
      <c r="I71" s="210"/>
      <c r="J71" s="212"/>
      <c r="K71" s="212"/>
      <c r="L71" s="212"/>
      <c r="M71" s="212"/>
    </row>
    <row r="72" spans="1:13" ht="15">
      <c r="A72" s="209">
        <f t="shared" si="6"/>
        <v>60</v>
      </c>
      <c r="B72" s="211"/>
      <c r="C72" s="223" t="s">
        <v>145</v>
      </c>
      <c r="D72" s="173" t="s">
        <v>448</v>
      </c>
      <c r="E72" s="1497">
        <f t="shared" si="7"/>
        <v>2020</v>
      </c>
      <c r="F72" s="190">
        <v>0</v>
      </c>
      <c r="G72" s="740"/>
      <c r="H72" s="213"/>
      <c r="I72" s="213"/>
      <c r="J72" s="213"/>
      <c r="K72" s="213"/>
      <c r="L72" s="213"/>
      <c r="M72" s="213"/>
    </row>
    <row r="73" spans="1:13">
      <c r="A73" s="209">
        <f t="shared" si="6"/>
        <v>61</v>
      </c>
      <c r="B73" s="213"/>
      <c r="C73" s="257" t="s">
        <v>159</v>
      </c>
      <c r="D73" s="213" t="str">
        <f>"(sum lines "&amp;A60&amp;"-"&amp;A72&amp;") /13"</f>
        <v>(sum lines 48-60) /13</v>
      </c>
      <c r="E73" s="597"/>
      <c r="F73" s="332">
        <f>SUM(F60:F72)/13</f>
        <v>0</v>
      </c>
      <c r="G73" s="672"/>
      <c r="H73" s="213"/>
      <c r="I73" s="213"/>
      <c r="J73" s="212"/>
      <c r="K73" s="212"/>
      <c r="L73" s="212"/>
      <c r="M73" s="212"/>
    </row>
    <row r="74" spans="1:13">
      <c r="A74" s="209"/>
      <c r="B74" s="323"/>
      <c r="C74" s="226"/>
      <c r="D74" s="213"/>
      <c r="E74" s="597"/>
      <c r="F74" s="333"/>
      <c r="G74" s="737"/>
      <c r="H74" s="210"/>
      <c r="I74" s="210"/>
      <c r="J74" s="212"/>
      <c r="K74" s="212"/>
      <c r="L74" s="212"/>
      <c r="M74" s="212"/>
    </row>
    <row r="75" spans="1:13">
      <c r="A75" s="209">
        <f>+A73+1</f>
        <v>62</v>
      </c>
      <c r="B75" s="211"/>
      <c r="C75" s="217" t="s">
        <v>158</v>
      </c>
      <c r="D75" s="213" t="s">
        <v>144</v>
      </c>
      <c r="E75" s="598"/>
      <c r="F75" s="325"/>
      <c r="G75" s="232"/>
      <c r="H75" s="213"/>
      <c r="I75" s="213"/>
      <c r="J75" s="212"/>
      <c r="K75" s="212"/>
      <c r="L75" s="212"/>
      <c r="M75" s="212"/>
    </row>
    <row r="76" spans="1:13" ht="15">
      <c r="A76" s="209">
        <f>+A75+1</f>
        <v>63</v>
      </c>
      <c r="B76" s="208"/>
      <c r="C76" s="208" t="s">
        <v>145</v>
      </c>
      <c r="D76" s="172" t="s">
        <v>157</v>
      </c>
      <c r="E76" s="1496">
        <f>+$E$7</f>
        <v>2019</v>
      </c>
      <c r="F76" s="189">
        <v>0</v>
      </c>
      <c r="G76" s="737"/>
      <c r="H76" s="210"/>
      <c r="I76" s="214"/>
      <c r="J76" s="212"/>
      <c r="K76" s="212"/>
      <c r="L76" s="212"/>
      <c r="M76" s="212"/>
    </row>
    <row r="77" spans="1:13">
      <c r="A77" s="209">
        <f t="shared" ref="A77:A88" si="8">+A76+1</f>
        <v>64</v>
      </c>
      <c r="B77" s="208"/>
      <c r="C77" s="225" t="s">
        <v>155</v>
      </c>
      <c r="D77" s="213" t="s">
        <v>146</v>
      </c>
      <c r="E77" s="1496">
        <f>+$E$8</f>
        <v>2020</v>
      </c>
      <c r="F77" s="189">
        <v>0</v>
      </c>
      <c r="G77" s="737"/>
      <c r="H77" s="210"/>
      <c r="I77" s="214"/>
      <c r="J77" s="212"/>
      <c r="K77" s="212"/>
      <c r="L77" s="212"/>
      <c r="M77" s="212"/>
    </row>
    <row r="78" spans="1:13">
      <c r="A78" s="209">
        <f t="shared" si="8"/>
        <v>65</v>
      </c>
      <c r="B78" s="208"/>
      <c r="C78" s="226" t="s">
        <v>154</v>
      </c>
      <c r="D78" s="213" t="s">
        <v>146</v>
      </c>
      <c r="E78" s="1496">
        <f t="shared" ref="E78:E88" si="9">+$E$8</f>
        <v>2020</v>
      </c>
      <c r="F78" s="189">
        <v>0</v>
      </c>
      <c r="G78" s="737"/>
      <c r="H78" s="210"/>
      <c r="I78" s="214"/>
      <c r="J78" s="212"/>
      <c r="K78" s="212"/>
      <c r="L78" s="212"/>
      <c r="M78" s="212"/>
    </row>
    <row r="79" spans="1:13">
      <c r="A79" s="209">
        <f t="shared" si="8"/>
        <v>66</v>
      </c>
      <c r="B79" s="208"/>
      <c r="C79" s="226" t="s">
        <v>153</v>
      </c>
      <c r="D79" s="213" t="s">
        <v>146</v>
      </c>
      <c r="E79" s="1496">
        <f t="shared" si="9"/>
        <v>2020</v>
      </c>
      <c r="F79" s="189">
        <v>0</v>
      </c>
      <c r="G79" s="737"/>
      <c r="H79" s="210"/>
      <c r="I79" s="214"/>
      <c r="J79" s="212"/>
      <c r="K79" s="212"/>
      <c r="L79" s="212"/>
      <c r="M79" s="212"/>
    </row>
    <row r="80" spans="1:13">
      <c r="A80" s="209">
        <f t="shared" si="8"/>
        <v>67</v>
      </c>
      <c r="B80" s="208"/>
      <c r="C80" s="225" t="s">
        <v>133</v>
      </c>
      <c r="D80" s="213" t="s">
        <v>146</v>
      </c>
      <c r="E80" s="1496">
        <f t="shared" si="9"/>
        <v>2020</v>
      </c>
      <c r="F80" s="189">
        <v>0</v>
      </c>
      <c r="G80" s="737"/>
      <c r="H80" s="210"/>
      <c r="I80" s="214"/>
      <c r="J80" s="212"/>
      <c r="K80" s="212"/>
      <c r="L80" s="212"/>
      <c r="M80" s="212"/>
    </row>
    <row r="81" spans="1:13">
      <c r="A81" s="209">
        <f t="shared" si="8"/>
        <v>68</v>
      </c>
      <c r="B81" s="208"/>
      <c r="C81" s="226" t="s">
        <v>130</v>
      </c>
      <c r="D81" s="213" t="s">
        <v>146</v>
      </c>
      <c r="E81" s="1496">
        <f t="shared" si="9"/>
        <v>2020</v>
      </c>
      <c r="F81" s="189">
        <v>0</v>
      </c>
      <c r="G81" s="737"/>
      <c r="H81" s="210"/>
      <c r="I81" s="214"/>
      <c r="J81" s="212"/>
      <c r="K81" s="212"/>
      <c r="L81" s="212"/>
      <c r="M81" s="212"/>
    </row>
    <row r="82" spans="1:13">
      <c r="A82" s="209">
        <f t="shared" si="8"/>
        <v>69</v>
      </c>
      <c r="B82" s="208"/>
      <c r="C82" s="226" t="s">
        <v>152</v>
      </c>
      <c r="D82" s="213" t="s">
        <v>146</v>
      </c>
      <c r="E82" s="1496">
        <f t="shared" si="9"/>
        <v>2020</v>
      </c>
      <c r="F82" s="189">
        <v>0</v>
      </c>
      <c r="G82" s="737"/>
      <c r="H82" s="210"/>
      <c r="I82" s="214"/>
      <c r="J82" s="212"/>
      <c r="K82" s="212"/>
      <c r="L82" s="212"/>
      <c r="M82" s="212"/>
    </row>
    <row r="83" spans="1:13">
      <c r="A83" s="209">
        <f t="shared" si="8"/>
        <v>70</v>
      </c>
      <c r="B83" s="208"/>
      <c r="C83" s="225" t="s">
        <v>151</v>
      </c>
      <c r="D83" s="213" t="s">
        <v>146</v>
      </c>
      <c r="E83" s="1496">
        <f t="shared" si="9"/>
        <v>2020</v>
      </c>
      <c r="F83" s="189">
        <v>0</v>
      </c>
      <c r="G83" s="737"/>
      <c r="H83" s="210"/>
      <c r="I83" s="214"/>
      <c r="J83" s="212"/>
      <c r="K83" s="212"/>
      <c r="L83" s="212"/>
      <c r="M83" s="212"/>
    </row>
    <row r="84" spans="1:13">
      <c r="A84" s="209">
        <f t="shared" si="8"/>
        <v>71</v>
      </c>
      <c r="B84" s="208"/>
      <c r="C84" s="226" t="s">
        <v>150</v>
      </c>
      <c r="D84" s="213" t="s">
        <v>146</v>
      </c>
      <c r="E84" s="1496">
        <f t="shared" si="9"/>
        <v>2020</v>
      </c>
      <c r="F84" s="189">
        <v>0</v>
      </c>
      <c r="G84" s="737"/>
      <c r="H84" s="210"/>
      <c r="I84" s="214"/>
      <c r="J84" s="212"/>
      <c r="K84" s="212"/>
      <c r="L84" s="212"/>
      <c r="M84" s="212"/>
    </row>
    <row r="85" spans="1:13">
      <c r="A85" s="209">
        <f t="shared" si="8"/>
        <v>72</v>
      </c>
      <c r="B85" s="208"/>
      <c r="C85" s="226" t="s">
        <v>149</v>
      </c>
      <c r="D85" s="213" t="s">
        <v>146</v>
      </c>
      <c r="E85" s="1496">
        <f t="shared" si="9"/>
        <v>2020</v>
      </c>
      <c r="F85" s="189">
        <v>0</v>
      </c>
      <c r="G85" s="737"/>
      <c r="H85" s="210"/>
      <c r="I85" s="214"/>
      <c r="J85" s="212"/>
      <c r="K85" s="212"/>
      <c r="L85" s="212"/>
      <c r="M85" s="212"/>
    </row>
    <row r="86" spans="1:13">
      <c r="A86" s="209">
        <f t="shared" si="8"/>
        <v>73</v>
      </c>
      <c r="B86" s="208"/>
      <c r="C86" s="225" t="s">
        <v>148</v>
      </c>
      <c r="D86" s="213" t="s">
        <v>146</v>
      </c>
      <c r="E86" s="1496">
        <f t="shared" si="9"/>
        <v>2020</v>
      </c>
      <c r="F86" s="189">
        <v>0</v>
      </c>
      <c r="G86" s="737"/>
      <c r="H86" s="210"/>
      <c r="I86" s="214"/>
      <c r="J86" s="212"/>
      <c r="K86" s="212"/>
      <c r="L86" s="212"/>
      <c r="M86" s="212"/>
    </row>
    <row r="87" spans="1:13">
      <c r="A87" s="209">
        <f t="shared" si="8"/>
        <v>74</v>
      </c>
      <c r="B87" s="208"/>
      <c r="C87" s="225" t="s">
        <v>147</v>
      </c>
      <c r="D87" s="213" t="s">
        <v>146</v>
      </c>
      <c r="E87" s="1496">
        <f t="shared" si="9"/>
        <v>2020</v>
      </c>
      <c r="F87" s="189">
        <v>0</v>
      </c>
      <c r="G87" s="737"/>
      <c r="H87" s="210"/>
      <c r="I87" s="214"/>
      <c r="J87" s="212"/>
      <c r="K87" s="212"/>
      <c r="L87" s="212"/>
      <c r="M87" s="212"/>
    </row>
    <row r="88" spans="1:13" ht="15">
      <c r="A88" s="209">
        <f t="shared" si="8"/>
        <v>75</v>
      </c>
      <c r="B88" s="211"/>
      <c r="C88" s="223" t="s">
        <v>145</v>
      </c>
      <c r="D88" s="173" t="s">
        <v>449</v>
      </c>
      <c r="E88" s="1497">
        <f t="shared" si="9"/>
        <v>2020</v>
      </c>
      <c r="F88" s="190">
        <v>0</v>
      </c>
      <c r="G88" s="740"/>
      <c r="H88" s="213"/>
      <c r="I88" s="213"/>
      <c r="J88" s="213"/>
      <c r="K88" s="213"/>
      <c r="L88" s="213"/>
      <c r="M88" s="213"/>
    </row>
    <row r="89" spans="1:13">
      <c r="A89" s="209">
        <f>+A88+1</f>
        <v>76</v>
      </c>
      <c r="B89" s="213"/>
      <c r="C89" s="257" t="s">
        <v>188</v>
      </c>
      <c r="D89" s="213" t="str">
        <f>"(sum lines "&amp;A76&amp;" - "&amp;A88&amp;") /13"</f>
        <v>(sum lines 63 - 75) /13</v>
      </c>
      <c r="E89" s="597"/>
      <c r="F89" s="332">
        <f>SUM(F76:F88)/13</f>
        <v>0</v>
      </c>
      <c r="G89" s="672"/>
      <c r="H89" s="213"/>
      <c r="I89" s="213"/>
      <c r="J89" s="212"/>
      <c r="K89" s="212"/>
      <c r="L89" s="212"/>
      <c r="M89" s="212"/>
    </row>
    <row r="90" spans="1:13">
      <c r="A90" s="209"/>
      <c r="B90" s="213"/>
      <c r="C90" s="225"/>
      <c r="D90" s="213"/>
      <c r="E90" s="599"/>
      <c r="F90" s="336"/>
      <c r="G90" s="737"/>
      <c r="H90" s="210"/>
      <c r="I90" s="210"/>
      <c r="J90" s="212"/>
      <c r="K90" s="212"/>
      <c r="L90" s="212"/>
      <c r="M90" s="212"/>
    </row>
    <row r="91" spans="1:13">
      <c r="A91" s="209">
        <f>+A89+1</f>
        <v>77</v>
      </c>
      <c r="B91" s="211"/>
      <c r="C91" s="217" t="s">
        <v>156</v>
      </c>
      <c r="D91" s="213" t="s">
        <v>144</v>
      </c>
      <c r="E91" s="598"/>
      <c r="F91" s="325"/>
      <c r="G91" s="232"/>
      <c r="H91" s="213"/>
      <c r="I91" s="213"/>
      <c r="J91" s="212"/>
      <c r="K91" s="212"/>
      <c r="L91" s="212"/>
      <c r="M91" s="212"/>
    </row>
    <row r="92" spans="1:13" ht="15">
      <c r="A92" s="209">
        <f>+A91+1</f>
        <v>78</v>
      </c>
      <c r="B92" s="208"/>
      <c r="C92" s="208" t="s">
        <v>145</v>
      </c>
      <c r="D92" s="172" t="s">
        <v>450</v>
      </c>
      <c r="E92" s="1496">
        <f>+$E$7</f>
        <v>2019</v>
      </c>
      <c r="F92" s="189">
        <v>0</v>
      </c>
      <c r="G92" s="737"/>
      <c r="H92" s="210"/>
      <c r="I92" s="214"/>
      <c r="J92" s="212"/>
      <c r="K92" s="212"/>
      <c r="L92" s="212"/>
      <c r="M92" s="212"/>
    </row>
    <row r="93" spans="1:13">
      <c r="A93" s="209">
        <f t="shared" ref="A93:A104" si="10">+A92+1</f>
        <v>79</v>
      </c>
      <c r="B93" s="208"/>
      <c r="C93" s="246" t="s">
        <v>155</v>
      </c>
      <c r="D93" s="232" t="s">
        <v>146</v>
      </c>
      <c r="E93" s="1496">
        <f>+$E$8</f>
        <v>2020</v>
      </c>
      <c r="F93" s="189">
        <v>0</v>
      </c>
      <c r="G93" s="737"/>
      <c r="H93" s="210"/>
      <c r="I93" s="214"/>
      <c r="J93" s="212"/>
      <c r="K93" s="212"/>
      <c r="L93" s="212"/>
      <c r="M93" s="212"/>
    </row>
    <row r="94" spans="1:13">
      <c r="A94" s="209">
        <f t="shared" si="10"/>
        <v>80</v>
      </c>
      <c r="B94" s="208"/>
      <c r="C94" s="226" t="s">
        <v>154</v>
      </c>
      <c r="D94" s="232" t="s">
        <v>146</v>
      </c>
      <c r="E94" s="1496">
        <f t="shared" ref="E94:E104" si="11">+$E$8</f>
        <v>2020</v>
      </c>
      <c r="F94" s="189">
        <v>0</v>
      </c>
      <c r="G94" s="737"/>
      <c r="H94" s="210"/>
      <c r="I94" s="214"/>
      <c r="J94" s="212"/>
      <c r="K94" s="212"/>
      <c r="L94" s="212"/>
      <c r="M94" s="212"/>
    </row>
    <row r="95" spans="1:13">
      <c r="A95" s="209">
        <f t="shared" si="10"/>
        <v>81</v>
      </c>
      <c r="B95" s="208"/>
      <c r="C95" s="226" t="s">
        <v>153</v>
      </c>
      <c r="D95" s="232" t="s">
        <v>146</v>
      </c>
      <c r="E95" s="1496">
        <f t="shared" si="11"/>
        <v>2020</v>
      </c>
      <c r="F95" s="189">
        <v>0</v>
      </c>
      <c r="G95" s="737"/>
      <c r="H95" s="210"/>
      <c r="I95" s="214"/>
      <c r="J95" s="212"/>
      <c r="K95" s="212"/>
      <c r="L95" s="212"/>
      <c r="M95" s="212"/>
    </row>
    <row r="96" spans="1:13">
      <c r="A96" s="209">
        <f t="shared" si="10"/>
        <v>82</v>
      </c>
      <c r="B96" s="208"/>
      <c r="C96" s="246" t="s">
        <v>133</v>
      </c>
      <c r="D96" s="232" t="s">
        <v>146</v>
      </c>
      <c r="E96" s="1496">
        <f t="shared" si="11"/>
        <v>2020</v>
      </c>
      <c r="F96" s="189">
        <v>0</v>
      </c>
      <c r="G96" s="737"/>
      <c r="H96" s="210"/>
      <c r="I96" s="214"/>
      <c r="J96" s="212"/>
      <c r="K96" s="212"/>
      <c r="L96" s="212"/>
      <c r="M96" s="212"/>
    </row>
    <row r="97" spans="1:13">
      <c r="A97" s="209">
        <f t="shared" si="10"/>
        <v>83</v>
      </c>
      <c r="B97" s="208"/>
      <c r="C97" s="226" t="s">
        <v>130</v>
      </c>
      <c r="D97" s="232" t="s">
        <v>146</v>
      </c>
      <c r="E97" s="1496">
        <f t="shared" si="11"/>
        <v>2020</v>
      </c>
      <c r="F97" s="189">
        <v>0</v>
      </c>
      <c r="G97" s="737"/>
      <c r="H97" s="210"/>
      <c r="I97" s="214"/>
      <c r="J97" s="212"/>
      <c r="K97" s="212"/>
      <c r="L97" s="212"/>
      <c r="M97" s="212"/>
    </row>
    <row r="98" spans="1:13">
      <c r="A98" s="209">
        <f t="shared" si="10"/>
        <v>84</v>
      </c>
      <c r="B98" s="208"/>
      <c r="C98" s="226" t="s">
        <v>152</v>
      </c>
      <c r="D98" s="232" t="s">
        <v>146</v>
      </c>
      <c r="E98" s="1496">
        <f t="shared" si="11"/>
        <v>2020</v>
      </c>
      <c r="F98" s="189">
        <v>0</v>
      </c>
      <c r="G98" s="737"/>
      <c r="H98" s="210"/>
      <c r="I98" s="214"/>
      <c r="J98" s="212"/>
      <c r="K98" s="212"/>
      <c r="L98" s="212"/>
      <c r="M98" s="212"/>
    </row>
    <row r="99" spans="1:13">
      <c r="A99" s="209">
        <f t="shared" si="10"/>
        <v>85</v>
      </c>
      <c r="B99" s="208"/>
      <c r="C99" s="246" t="s">
        <v>151</v>
      </c>
      <c r="D99" s="232" t="s">
        <v>146</v>
      </c>
      <c r="E99" s="1496">
        <f t="shared" si="11"/>
        <v>2020</v>
      </c>
      <c r="F99" s="189">
        <v>0</v>
      </c>
      <c r="G99" s="737"/>
      <c r="H99" s="210"/>
      <c r="I99" s="214"/>
      <c r="J99" s="212"/>
      <c r="K99" s="212"/>
      <c r="L99" s="212"/>
      <c r="M99" s="212"/>
    </row>
    <row r="100" spans="1:13">
      <c r="A100" s="209">
        <f t="shared" si="10"/>
        <v>86</v>
      </c>
      <c r="B100" s="208"/>
      <c r="C100" s="226" t="s">
        <v>150</v>
      </c>
      <c r="D100" s="232" t="s">
        <v>146</v>
      </c>
      <c r="E100" s="1496">
        <f t="shared" si="11"/>
        <v>2020</v>
      </c>
      <c r="F100" s="189">
        <v>0</v>
      </c>
      <c r="G100" s="737"/>
      <c r="H100" s="210"/>
      <c r="I100" s="214"/>
      <c r="J100" s="212"/>
      <c r="K100" s="212"/>
      <c r="L100" s="212"/>
      <c r="M100" s="212"/>
    </row>
    <row r="101" spans="1:13">
      <c r="A101" s="209">
        <f t="shared" si="10"/>
        <v>87</v>
      </c>
      <c r="B101" s="208"/>
      <c r="C101" s="226" t="s">
        <v>149</v>
      </c>
      <c r="D101" s="232" t="s">
        <v>146</v>
      </c>
      <c r="E101" s="1496">
        <f t="shared" si="11"/>
        <v>2020</v>
      </c>
      <c r="F101" s="189">
        <v>0</v>
      </c>
      <c r="G101" s="737"/>
      <c r="H101" s="210"/>
      <c r="I101" s="214"/>
      <c r="J101" s="212"/>
      <c r="K101" s="212"/>
      <c r="L101" s="212"/>
      <c r="M101" s="212"/>
    </row>
    <row r="102" spans="1:13">
      <c r="A102" s="209">
        <f t="shared" si="10"/>
        <v>88</v>
      </c>
      <c r="B102" s="208"/>
      <c r="C102" s="246" t="s">
        <v>148</v>
      </c>
      <c r="D102" s="232" t="s">
        <v>146</v>
      </c>
      <c r="E102" s="1496">
        <f t="shared" si="11"/>
        <v>2020</v>
      </c>
      <c r="F102" s="189">
        <v>0</v>
      </c>
      <c r="G102" s="737"/>
      <c r="H102" s="210"/>
      <c r="I102" s="214"/>
      <c r="J102" s="212"/>
      <c r="K102" s="212"/>
      <c r="L102" s="212"/>
      <c r="M102" s="212"/>
    </row>
    <row r="103" spans="1:13">
      <c r="A103" s="209">
        <f t="shared" si="10"/>
        <v>89</v>
      </c>
      <c r="B103" s="208"/>
      <c r="C103" s="246" t="s">
        <v>147</v>
      </c>
      <c r="D103" s="232" t="s">
        <v>146</v>
      </c>
      <c r="E103" s="1496">
        <f t="shared" si="11"/>
        <v>2020</v>
      </c>
      <c r="F103" s="189">
        <v>0</v>
      </c>
      <c r="G103" s="737"/>
      <c r="H103" s="210"/>
      <c r="I103" s="214"/>
      <c r="J103" s="212"/>
      <c r="K103" s="212"/>
      <c r="L103" s="212"/>
      <c r="M103" s="212"/>
    </row>
    <row r="104" spans="1:13" ht="15">
      <c r="A104" s="209">
        <f t="shared" si="10"/>
        <v>90</v>
      </c>
      <c r="B104" s="211"/>
      <c r="C104" s="223" t="s">
        <v>145</v>
      </c>
      <c r="D104" s="173" t="s">
        <v>451</v>
      </c>
      <c r="E104" s="1497">
        <f t="shared" si="11"/>
        <v>2020</v>
      </c>
      <c r="F104" s="190">
        <v>0</v>
      </c>
      <c r="G104" s="740"/>
      <c r="H104" s="213"/>
      <c r="I104" s="213"/>
      <c r="J104" s="213"/>
      <c r="K104" s="213"/>
      <c r="L104" s="213"/>
      <c r="M104" s="213"/>
    </row>
    <row r="105" spans="1:13">
      <c r="A105" s="209">
        <f>+A104+1</f>
        <v>91</v>
      </c>
      <c r="B105" s="213"/>
      <c r="C105" s="257" t="s">
        <v>189</v>
      </c>
      <c r="D105" s="213" t="str">
        <f>"(sum lines "&amp;A92&amp;" - "&amp;A104&amp;") /13"</f>
        <v>(sum lines 78 - 90) /13</v>
      </c>
      <c r="E105" s="597"/>
      <c r="F105" s="332">
        <f>SUM(F92:F104)/13</f>
        <v>0</v>
      </c>
      <c r="G105" s="672"/>
      <c r="H105" s="213"/>
      <c r="I105" s="213"/>
      <c r="J105" s="212"/>
      <c r="K105" s="212"/>
      <c r="L105" s="212"/>
      <c r="M105" s="212"/>
    </row>
    <row r="106" spans="1:13">
      <c r="A106" s="209"/>
      <c r="B106" s="211"/>
      <c r="C106" s="226"/>
      <c r="D106" s="253"/>
      <c r="E106" s="599"/>
      <c r="F106" s="335"/>
      <c r="G106" s="232"/>
      <c r="H106" s="213"/>
      <c r="I106" s="213"/>
      <c r="J106" s="213"/>
      <c r="K106" s="213"/>
      <c r="L106" s="213"/>
      <c r="M106" s="213"/>
    </row>
    <row r="107" spans="1:13">
      <c r="A107" s="209">
        <f>+A105+1</f>
        <v>92</v>
      </c>
      <c r="B107" s="211"/>
      <c r="C107" s="328" t="s">
        <v>190</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c r="A109" s="234"/>
      <c r="B109" s="323"/>
      <c r="C109" s="226"/>
      <c r="D109" s="213"/>
      <c r="E109" s="269"/>
      <c r="F109" s="226"/>
      <c r="G109" s="215"/>
      <c r="H109" s="210"/>
      <c r="I109" s="210"/>
      <c r="J109" s="212"/>
      <c r="K109" s="212"/>
      <c r="L109" s="212"/>
      <c r="M109" s="212"/>
    </row>
    <row r="162" spans="8:8">
      <c r="H162" s="868"/>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68"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V210"/>
  <sheetViews>
    <sheetView topLeftCell="B11" zoomScaleNormal="100" zoomScaleSheetLayoutView="80" workbookViewId="0">
      <selection activeCell="F9" sqref="F9"/>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22">
      <c r="A1" s="234"/>
      <c r="B1" s="323"/>
      <c r="C1" s="226"/>
      <c r="D1" s="213"/>
      <c r="E1" s="269"/>
      <c r="F1" s="226"/>
      <c r="G1" s="215"/>
      <c r="H1" s="210"/>
      <c r="I1" s="210"/>
      <c r="J1" s="212"/>
      <c r="K1" s="212"/>
      <c r="L1" s="212"/>
      <c r="M1" s="212"/>
    </row>
    <row r="2" spans="1:22" ht="13.5" thickBot="1">
      <c r="A2" s="220" t="str">
        <f>+'Appendix III'!C74</f>
        <v>ADJUSTMENTS TO RATE BASE       (Note A)</v>
      </c>
      <c r="K2" s="199" t="s">
        <v>388</v>
      </c>
    </row>
    <row r="3" spans="1:22" ht="50.25" customHeight="1" thickBot="1">
      <c r="A3" s="1695" t="s">
        <v>496</v>
      </c>
      <c r="B3" s="1696"/>
      <c r="C3" s="1696"/>
      <c r="D3" s="1696"/>
      <c r="E3" s="1696"/>
      <c r="F3" s="1697"/>
      <c r="G3" s="322"/>
      <c r="H3" s="322"/>
      <c r="I3" s="322"/>
      <c r="J3" s="1698" t="s">
        <v>109</v>
      </c>
      <c r="K3" s="1699"/>
      <c r="L3" s="1699"/>
      <c r="M3" s="1700"/>
    </row>
    <row r="4" spans="1:22">
      <c r="A4" s="321"/>
      <c r="B4" s="318"/>
      <c r="C4" s="320"/>
      <c r="D4" s="319"/>
      <c r="E4" s="318" t="s">
        <v>198</v>
      </c>
      <c r="F4" s="317" t="s">
        <v>139</v>
      </c>
      <c r="G4" s="316" t="s">
        <v>199</v>
      </c>
      <c r="H4" s="315"/>
      <c r="I4" s="314"/>
      <c r="J4" s="313"/>
      <c r="K4" s="219"/>
      <c r="L4" s="219"/>
      <c r="M4" s="218"/>
    </row>
    <row r="5" spans="1:22" s="1" customFormat="1" ht="15">
      <c r="A5" s="311">
        <f>+'2 - Cost Support '!A107+1</f>
        <v>93</v>
      </c>
      <c r="B5" s="310"/>
      <c r="C5" s="309" t="s">
        <v>273</v>
      </c>
      <c r="D5" s="309" t="s">
        <v>38</v>
      </c>
      <c r="E5" s="1628">
        <v>0</v>
      </c>
      <c r="F5" s="1628">
        <v>0</v>
      </c>
      <c r="G5" s="578">
        <f>+E5/2+F5/2</f>
        <v>0</v>
      </c>
      <c r="H5" s="306"/>
      <c r="I5" s="305"/>
      <c r="J5" s="305"/>
      <c r="K5" s="305"/>
      <c r="L5" s="304"/>
      <c r="M5" s="166"/>
      <c r="N5" s="7"/>
      <c r="O5" s="7"/>
      <c r="P5" s="7"/>
      <c r="Q5" s="7"/>
      <c r="R5" s="7"/>
      <c r="S5" s="7"/>
      <c r="T5" s="7"/>
      <c r="U5" s="7"/>
      <c r="V5" s="7"/>
    </row>
    <row r="6" spans="1:22" s="1" customFormat="1" ht="15">
      <c r="A6" s="311"/>
      <c r="B6" s="310"/>
      <c r="C6" s="310"/>
      <c r="D6" s="309"/>
      <c r="E6" s="1629"/>
      <c r="F6" s="1629"/>
      <c r="G6" s="578"/>
      <c r="H6" s="306"/>
      <c r="I6" s="305"/>
      <c r="J6" s="305"/>
      <c r="K6" s="305"/>
      <c r="L6" s="304"/>
      <c r="M6" s="166"/>
      <c r="N6" s="7"/>
      <c r="O6" s="7"/>
      <c r="P6" s="7"/>
      <c r="Q6" s="7"/>
      <c r="R6" s="7"/>
      <c r="S6" s="7"/>
      <c r="T6" s="7"/>
      <c r="U6" s="7"/>
      <c r="V6" s="7"/>
    </row>
    <row r="7" spans="1:22" s="1" customFormat="1" ht="15">
      <c r="A7" s="311">
        <f>+A5+1</f>
        <v>94</v>
      </c>
      <c r="B7" s="310"/>
      <c r="C7" s="310" t="s">
        <v>226</v>
      </c>
      <c r="D7" s="308" t="s">
        <v>227</v>
      </c>
      <c r="E7" s="1628">
        <v>5762552.7599999998</v>
      </c>
      <c r="F7" s="1628">
        <v>4321914.5684210518</v>
      </c>
      <c r="G7" s="643">
        <f>+E7/2+F7/2</f>
        <v>5042233.6642105263</v>
      </c>
      <c r="H7" s="163"/>
      <c r="I7" s="127"/>
      <c r="J7" s="127"/>
      <c r="K7" s="305"/>
      <c r="L7" s="304"/>
      <c r="M7" s="166"/>
      <c r="N7" s="7"/>
      <c r="O7" s="7"/>
      <c r="P7" s="7"/>
      <c r="Q7" s="7"/>
      <c r="R7" s="7"/>
      <c r="S7" s="7"/>
      <c r="T7" s="7"/>
      <c r="U7" s="7"/>
      <c r="V7" s="7"/>
    </row>
    <row r="8" spans="1:22" s="1" customFormat="1" ht="15">
      <c r="A8" s="311"/>
      <c r="B8" s="310"/>
      <c r="C8" s="388" t="s">
        <v>1002</v>
      </c>
      <c r="D8" s="308"/>
      <c r="E8" s="308"/>
      <c r="F8" s="308"/>
      <c r="G8" s="579"/>
      <c r="H8" s="163"/>
      <c r="I8" s="127"/>
      <c r="J8" s="126"/>
      <c r="K8" s="305"/>
      <c r="L8" s="304"/>
      <c r="M8" s="166"/>
      <c r="N8" s="7"/>
      <c r="O8" s="7"/>
      <c r="P8" s="7"/>
      <c r="Q8" s="7"/>
      <c r="R8" s="7"/>
      <c r="S8" s="7"/>
      <c r="T8" s="7"/>
      <c r="U8" s="7"/>
      <c r="V8" s="7"/>
    </row>
    <row r="9" spans="1:22" s="1" customFormat="1" ht="15">
      <c r="A9" s="311">
        <f>+A7+1</f>
        <v>95</v>
      </c>
      <c r="B9" s="310"/>
      <c r="C9" s="388" t="s">
        <v>441</v>
      </c>
      <c r="D9" s="308"/>
      <c r="E9" s="308"/>
      <c r="F9" s="743">
        <f>E7-F7</f>
        <v>1440638.1915789479</v>
      </c>
      <c r="G9" s="579"/>
      <c r="H9" s="163"/>
      <c r="I9" s="127"/>
      <c r="J9" s="126"/>
      <c r="K9" s="305"/>
      <c r="L9" s="304"/>
      <c r="M9" s="166"/>
      <c r="N9" s="7"/>
      <c r="O9" s="7"/>
      <c r="P9" s="7"/>
      <c r="Q9" s="7"/>
      <c r="R9" s="7"/>
      <c r="S9" s="7"/>
      <c r="T9" s="7"/>
      <c r="U9" s="7"/>
      <c r="V9" s="7"/>
    </row>
    <row r="10" spans="1:22" s="1" customFormat="1" ht="15.75">
      <c r="A10" s="311"/>
      <c r="B10" s="310"/>
      <c r="C10" s="388" t="str">
        <f>+C8</f>
        <v xml:space="preserve">  (recovery of abandoned plant requires a FERC order approving the amount and recovery period and Attachment 11 being completed)</v>
      </c>
      <c r="D10" s="308"/>
      <c r="E10" s="308"/>
      <c r="F10" s="308"/>
      <c r="G10" s="579"/>
      <c r="H10" s="163"/>
      <c r="I10" s="686"/>
      <c r="J10" s="126"/>
      <c r="K10" s="305"/>
      <c r="L10" s="304"/>
      <c r="M10" s="166"/>
      <c r="N10" s="7"/>
      <c r="O10" s="7"/>
      <c r="P10" s="7"/>
      <c r="Q10" s="7"/>
      <c r="R10" s="7"/>
      <c r="S10" s="7"/>
      <c r="T10" s="7"/>
      <c r="U10" s="7"/>
      <c r="V10" s="7"/>
    </row>
    <row r="11" spans="1:22" s="1" customFormat="1" ht="15">
      <c r="A11" s="311">
        <f>+A9+1</f>
        <v>96</v>
      </c>
      <c r="B11" s="310"/>
      <c r="C11" s="716" t="s">
        <v>222</v>
      </c>
      <c r="E11" s="215"/>
      <c r="F11" s="215"/>
      <c r="G11" s="579"/>
      <c r="H11" s="163"/>
      <c r="I11" s="127"/>
      <c r="J11" s="127"/>
      <c r="K11" s="305"/>
      <c r="L11" s="304"/>
      <c r="M11" s="166"/>
      <c r="N11" s="7"/>
      <c r="O11" s="7"/>
      <c r="P11" s="7"/>
      <c r="Q11" s="7"/>
      <c r="R11" s="7"/>
      <c r="S11" s="7"/>
      <c r="T11" s="7"/>
      <c r="U11" s="7"/>
      <c r="V11" s="7"/>
    </row>
    <row r="12" spans="1:22" s="1" customFormat="1" ht="15">
      <c r="A12" s="311"/>
      <c r="B12" s="310"/>
      <c r="C12" s="309" t="s">
        <v>319</v>
      </c>
      <c r="D12" s="309"/>
      <c r="E12" s="210" t="s">
        <v>134</v>
      </c>
      <c r="F12" s="216" t="s">
        <v>129</v>
      </c>
      <c r="G12" s="307"/>
      <c r="H12" s="312"/>
      <c r="I12" s="305"/>
      <c r="J12" s="305"/>
      <c r="K12" s="305"/>
      <c r="L12" s="304"/>
      <c r="M12" s="166"/>
      <c r="N12" s="7"/>
      <c r="O12" s="7"/>
      <c r="P12" s="7"/>
      <c r="Q12" s="7"/>
      <c r="R12" s="7"/>
      <c r="S12" s="7"/>
      <c r="T12" s="7"/>
      <c r="U12" s="7"/>
      <c r="V12" s="7"/>
    </row>
    <row r="13" spans="1:22" s="1" customFormat="1" ht="15">
      <c r="A13" s="235">
        <f>+A11+1</f>
        <v>97</v>
      </c>
      <c r="B13" s="234"/>
      <c r="C13" s="208" t="s">
        <v>145</v>
      </c>
      <c r="D13" s="308" t="s">
        <v>444</v>
      </c>
      <c r="E13" s="595">
        <v>0</v>
      </c>
      <c r="F13" s="1198">
        <v>0</v>
      </c>
      <c r="I13" s="305"/>
      <c r="J13" s="305"/>
      <c r="K13" s="305"/>
      <c r="L13" s="304"/>
      <c r="M13" s="166"/>
      <c r="N13" s="7"/>
      <c r="O13" s="7"/>
      <c r="P13" s="7"/>
      <c r="Q13" s="7"/>
      <c r="R13" s="7"/>
      <c r="S13" s="7"/>
      <c r="T13" s="7"/>
      <c r="U13" s="7"/>
      <c r="V13" s="7"/>
    </row>
    <row r="14" spans="1:22" s="1" customFormat="1" ht="15">
      <c r="A14" s="235">
        <f t="shared" ref="A14:A26" si="0">+A13+1</f>
        <v>98</v>
      </c>
      <c r="B14" s="234"/>
      <c r="C14" s="246" t="s">
        <v>155</v>
      </c>
      <c r="D14" s="232" t="s">
        <v>146</v>
      </c>
      <c r="E14" s="595">
        <v>0</v>
      </c>
      <c r="F14" s="1198">
        <v>0</v>
      </c>
      <c r="I14" s="305"/>
      <c r="J14" s="305"/>
      <c r="K14" s="305"/>
      <c r="L14" s="304"/>
      <c r="M14" s="166"/>
      <c r="N14" s="7"/>
      <c r="O14" s="7"/>
      <c r="P14" s="7"/>
      <c r="Q14" s="7"/>
      <c r="R14" s="7"/>
      <c r="S14" s="7"/>
      <c r="T14" s="7"/>
      <c r="U14" s="7"/>
      <c r="V14" s="7"/>
    </row>
    <row r="15" spans="1:22" s="1" customFormat="1" ht="15">
      <c r="A15" s="235">
        <f t="shared" si="0"/>
        <v>99</v>
      </c>
      <c r="B15" s="234"/>
      <c r="C15" s="226" t="s">
        <v>154</v>
      </c>
      <c r="D15" s="232" t="s">
        <v>146</v>
      </c>
      <c r="E15" s="595">
        <v>0</v>
      </c>
      <c r="F15" s="1198">
        <v>0</v>
      </c>
      <c r="I15" s="305"/>
      <c r="J15" s="305"/>
      <c r="K15" s="305"/>
      <c r="L15" s="304"/>
      <c r="M15" s="166"/>
      <c r="N15" s="7"/>
      <c r="O15" s="7"/>
      <c r="P15" s="7"/>
      <c r="Q15" s="7"/>
      <c r="R15" s="7"/>
      <c r="S15" s="7"/>
      <c r="T15" s="7"/>
      <c r="U15" s="7"/>
      <c r="V15" s="7"/>
    </row>
    <row r="16" spans="1:22" s="1" customFormat="1" ht="15">
      <c r="A16" s="235">
        <f t="shared" si="0"/>
        <v>100</v>
      </c>
      <c r="B16" s="234"/>
      <c r="C16" s="226" t="s">
        <v>153</v>
      </c>
      <c r="D16" s="232" t="s">
        <v>146</v>
      </c>
      <c r="E16" s="595">
        <v>0</v>
      </c>
      <c r="F16" s="1198">
        <v>0</v>
      </c>
      <c r="I16" s="305"/>
      <c r="J16" s="305"/>
      <c r="K16" s="305"/>
      <c r="L16" s="304"/>
      <c r="M16" s="166"/>
      <c r="N16" s="7"/>
      <c r="O16" s="7"/>
      <c r="P16" s="7"/>
      <c r="Q16" s="7"/>
      <c r="R16" s="7"/>
      <c r="S16" s="7"/>
      <c r="T16" s="7"/>
      <c r="U16" s="7"/>
      <c r="V16" s="7"/>
    </row>
    <row r="17" spans="1:22" s="1" customFormat="1" ht="15">
      <c r="A17" s="235">
        <f t="shared" si="0"/>
        <v>101</v>
      </c>
      <c r="B17" s="234"/>
      <c r="C17" s="246" t="s">
        <v>133</v>
      </c>
      <c r="D17" s="232" t="s">
        <v>146</v>
      </c>
      <c r="E17" s="595">
        <v>0</v>
      </c>
      <c r="F17" s="1198">
        <v>0</v>
      </c>
      <c r="I17" s="305"/>
      <c r="J17" s="305"/>
      <c r="K17" s="305"/>
      <c r="L17" s="304"/>
      <c r="M17" s="166"/>
      <c r="N17" s="7"/>
      <c r="O17" s="7"/>
      <c r="P17" s="7"/>
      <c r="Q17" s="7"/>
      <c r="R17" s="7"/>
      <c r="S17" s="7"/>
      <c r="T17" s="7"/>
      <c r="U17" s="7"/>
      <c r="V17" s="7"/>
    </row>
    <row r="18" spans="1:22" s="1" customFormat="1" ht="15">
      <c r="A18" s="235">
        <f t="shared" si="0"/>
        <v>102</v>
      </c>
      <c r="B18" s="234"/>
      <c r="C18" s="226" t="s">
        <v>130</v>
      </c>
      <c r="D18" s="232" t="s">
        <v>146</v>
      </c>
      <c r="E18" s="595">
        <v>0</v>
      </c>
      <c r="F18" s="1198">
        <v>0</v>
      </c>
      <c r="I18" s="305"/>
      <c r="J18" s="305"/>
      <c r="K18" s="305"/>
      <c r="L18" s="304"/>
      <c r="M18" s="166"/>
      <c r="N18" s="7"/>
      <c r="O18" s="7"/>
      <c r="P18" s="7"/>
      <c r="Q18" s="7"/>
      <c r="R18" s="7"/>
      <c r="S18" s="7"/>
      <c r="T18" s="7"/>
      <c r="U18" s="7"/>
      <c r="V18" s="7"/>
    </row>
    <row r="19" spans="1:22" s="1" customFormat="1" ht="15">
      <c r="A19" s="235">
        <f t="shared" si="0"/>
        <v>103</v>
      </c>
      <c r="B19" s="234"/>
      <c r="C19" s="226" t="s">
        <v>152</v>
      </c>
      <c r="D19" s="232" t="s">
        <v>146</v>
      </c>
      <c r="E19" s="595">
        <v>0</v>
      </c>
      <c r="F19" s="1198">
        <v>0</v>
      </c>
      <c r="I19" s="305"/>
      <c r="J19" s="305"/>
      <c r="K19" s="305"/>
      <c r="L19" s="304"/>
      <c r="M19" s="166"/>
      <c r="N19" s="7"/>
      <c r="O19" s="7"/>
      <c r="P19" s="7"/>
      <c r="Q19" s="7"/>
      <c r="R19" s="7"/>
      <c r="S19" s="7"/>
      <c r="T19" s="7"/>
      <c r="U19" s="7"/>
      <c r="V19" s="7"/>
    </row>
    <row r="20" spans="1:22" s="1" customFormat="1" ht="15">
      <c r="A20" s="235">
        <f t="shared" si="0"/>
        <v>104</v>
      </c>
      <c r="B20" s="234"/>
      <c r="C20" s="246" t="s">
        <v>151</v>
      </c>
      <c r="D20" s="232" t="s">
        <v>146</v>
      </c>
      <c r="E20" s="595">
        <v>0</v>
      </c>
      <c r="F20" s="1198">
        <v>0</v>
      </c>
      <c r="I20" s="305"/>
      <c r="J20" s="305"/>
      <c r="K20" s="305"/>
      <c r="L20" s="304"/>
      <c r="M20" s="166"/>
      <c r="N20" s="7"/>
      <c r="O20" s="7"/>
      <c r="P20" s="7"/>
      <c r="Q20" s="7"/>
      <c r="R20" s="7"/>
      <c r="S20" s="7"/>
      <c r="T20" s="7"/>
      <c r="U20" s="7"/>
      <c r="V20" s="7"/>
    </row>
    <row r="21" spans="1:22" s="1" customFormat="1" ht="15">
      <c r="A21" s="235">
        <f t="shared" si="0"/>
        <v>105</v>
      </c>
      <c r="B21" s="234"/>
      <c r="C21" s="226" t="s">
        <v>150</v>
      </c>
      <c r="D21" s="232" t="s">
        <v>146</v>
      </c>
      <c r="E21" s="595">
        <v>0</v>
      </c>
      <c r="F21" s="1198">
        <v>0</v>
      </c>
      <c r="I21" s="305"/>
      <c r="J21" s="305"/>
      <c r="K21" s="305"/>
      <c r="L21" s="304"/>
      <c r="M21" s="166"/>
      <c r="N21" s="7"/>
      <c r="O21" s="7"/>
      <c r="P21" s="7"/>
      <c r="Q21" s="7"/>
      <c r="R21" s="7"/>
      <c r="S21" s="7"/>
      <c r="T21" s="7"/>
      <c r="U21" s="7"/>
      <c r="V21" s="7"/>
    </row>
    <row r="22" spans="1:22" s="1" customFormat="1" ht="15">
      <c r="A22" s="235">
        <f t="shared" si="0"/>
        <v>106</v>
      </c>
      <c r="B22" s="234"/>
      <c r="C22" s="226" t="s">
        <v>149</v>
      </c>
      <c r="D22" s="232" t="s">
        <v>146</v>
      </c>
      <c r="E22" s="595">
        <v>0</v>
      </c>
      <c r="F22" s="1198">
        <v>0</v>
      </c>
      <c r="I22" s="305"/>
      <c r="J22" s="305"/>
      <c r="K22" s="305"/>
      <c r="L22" s="304"/>
      <c r="M22" s="166"/>
      <c r="N22" s="7"/>
      <c r="O22" s="7"/>
      <c r="P22" s="7"/>
      <c r="Q22" s="7"/>
      <c r="R22" s="7"/>
      <c r="S22" s="7"/>
      <c r="T22" s="7"/>
      <c r="U22" s="7"/>
      <c r="V22" s="7"/>
    </row>
    <row r="23" spans="1:22" s="1" customFormat="1" ht="15">
      <c r="A23" s="235">
        <f t="shared" si="0"/>
        <v>107</v>
      </c>
      <c r="B23" s="234"/>
      <c r="C23" s="246" t="s">
        <v>148</v>
      </c>
      <c r="D23" s="232" t="s">
        <v>146</v>
      </c>
      <c r="E23" s="595">
        <v>0</v>
      </c>
      <c r="F23" s="1198">
        <v>0</v>
      </c>
      <c r="I23" s="305"/>
      <c r="J23" s="305"/>
      <c r="K23" s="305"/>
      <c r="L23" s="304"/>
      <c r="M23" s="166"/>
      <c r="N23" s="7"/>
      <c r="O23" s="7"/>
      <c r="P23" s="7"/>
      <c r="Q23" s="7"/>
      <c r="R23" s="7"/>
      <c r="S23" s="7"/>
      <c r="T23" s="7"/>
      <c r="U23" s="7"/>
      <c r="V23" s="7"/>
    </row>
    <row r="24" spans="1:22" s="1" customFormat="1" ht="15">
      <c r="A24" s="235">
        <f t="shared" si="0"/>
        <v>108</v>
      </c>
      <c r="B24" s="234"/>
      <c r="C24" s="246" t="s">
        <v>147</v>
      </c>
      <c r="D24" s="232" t="s">
        <v>146</v>
      </c>
      <c r="E24" s="595">
        <v>0</v>
      </c>
      <c r="F24" s="1198">
        <v>0</v>
      </c>
      <c r="I24" s="305"/>
      <c r="J24" s="305"/>
      <c r="K24" s="305"/>
      <c r="L24" s="304"/>
      <c r="M24" s="166"/>
      <c r="N24" s="7"/>
      <c r="O24" s="7"/>
      <c r="P24" s="7"/>
      <c r="Q24" s="7"/>
      <c r="R24" s="7"/>
      <c r="S24" s="7"/>
      <c r="T24" s="7"/>
      <c r="U24" s="7"/>
      <c r="V24" s="7"/>
    </row>
    <row r="25" spans="1:22" s="1" customFormat="1" ht="15">
      <c r="A25" s="235">
        <f t="shared" si="0"/>
        <v>109</v>
      </c>
      <c r="B25" s="234"/>
      <c r="C25" s="223" t="s">
        <v>145</v>
      </c>
      <c r="D25" s="715" t="s">
        <v>40</v>
      </c>
      <c r="E25" s="596">
        <v>0</v>
      </c>
      <c r="F25" s="1199">
        <v>0</v>
      </c>
      <c r="I25" s="305"/>
      <c r="J25" s="305"/>
      <c r="K25" s="305"/>
      <c r="L25" s="304"/>
      <c r="M25" s="166"/>
      <c r="N25" s="7"/>
      <c r="O25" s="7"/>
      <c r="P25" s="7"/>
      <c r="Q25" s="7"/>
      <c r="R25" s="7"/>
      <c r="S25" s="7"/>
      <c r="T25" s="7"/>
      <c r="U25" s="7"/>
      <c r="V25" s="7"/>
    </row>
    <row r="26" spans="1:22" s="1" customFormat="1" ht="15">
      <c r="A26" s="235">
        <f t="shared" si="0"/>
        <v>110</v>
      </c>
      <c r="B26" s="234"/>
      <c r="C26" s="257" t="s">
        <v>440</v>
      </c>
      <c r="D26" s="232" t="str">
        <f>"(sum lines "&amp;A13&amp;"-"&amp;A25&amp;") /13"</f>
        <v>(sum lines 97-109) /13</v>
      </c>
      <c r="E26" s="255"/>
      <c r="F26" s="332">
        <f>SUM(F13:F25)/13</f>
        <v>0</v>
      </c>
      <c r="I26" s="305"/>
      <c r="J26" s="305"/>
      <c r="K26" s="305"/>
      <c r="L26" s="304"/>
      <c r="M26" s="166"/>
      <c r="N26" s="7"/>
      <c r="O26" s="7"/>
      <c r="P26" s="7"/>
      <c r="Q26" s="7"/>
      <c r="R26" s="7"/>
      <c r="S26" s="7"/>
      <c r="T26" s="7"/>
      <c r="U26" s="7"/>
      <c r="V26" s="7"/>
    </row>
    <row r="27" spans="1:22" s="1" customFormat="1" ht="15">
      <c r="A27" s="311"/>
      <c r="B27" s="310"/>
      <c r="C27" s="309"/>
      <c r="D27" s="309"/>
      <c r="E27" s="308"/>
      <c r="F27" s="308"/>
      <c r="G27" s="307"/>
      <c r="H27" s="312"/>
      <c r="I27" s="305"/>
      <c r="J27" s="305"/>
      <c r="K27" s="305"/>
      <c r="L27" s="304"/>
      <c r="M27" s="166"/>
      <c r="N27" s="7"/>
      <c r="O27" s="7"/>
      <c r="P27" s="7"/>
      <c r="Q27" s="7"/>
      <c r="R27" s="7"/>
      <c r="S27" s="7"/>
      <c r="T27" s="7"/>
      <c r="U27" s="7"/>
      <c r="V27" s="7"/>
    </row>
    <row r="28" spans="1:22" ht="13.5" thickBot="1">
      <c r="A28" s="235"/>
      <c r="B28" s="234"/>
      <c r="C28" s="389"/>
      <c r="D28" s="294"/>
      <c r="E28" s="226"/>
      <c r="F28" s="208"/>
      <c r="G28" s="303"/>
      <c r="H28" s="233"/>
      <c r="I28" s="299"/>
      <c r="J28" s="298"/>
      <c r="K28" s="297"/>
      <c r="L28" s="297"/>
      <c r="M28" s="296"/>
    </row>
    <row r="29" spans="1:22">
      <c r="A29" s="321">
        <f>+A26+1</f>
        <v>111</v>
      </c>
      <c r="B29" s="318"/>
      <c r="C29" s="429" t="s">
        <v>196</v>
      </c>
      <c r="D29" s="744" t="s">
        <v>144</v>
      </c>
      <c r="E29" s="317" t="s">
        <v>134</v>
      </c>
      <c r="F29" s="833" t="s">
        <v>1055</v>
      </c>
      <c r="G29" s="834" t="s">
        <v>369</v>
      </c>
      <c r="H29" s="765" t="s">
        <v>20</v>
      </c>
      <c r="I29" s="397"/>
      <c r="J29" s="746"/>
      <c r="K29" s="748"/>
      <c r="L29" s="748"/>
      <c r="M29" s="749"/>
    </row>
    <row r="30" spans="1:22">
      <c r="A30" s="235">
        <f t="shared" ref="A30:A43" si="1">+A29+1</f>
        <v>112</v>
      </c>
      <c r="B30" s="234"/>
      <c r="C30" s="208" t="s">
        <v>145</v>
      </c>
      <c r="D30" s="253" t="s">
        <v>445</v>
      </c>
      <c r="E30" s="595">
        <v>0</v>
      </c>
      <c r="F30" s="1195">
        <v>0</v>
      </c>
      <c r="G30" s="1194">
        <v>0</v>
      </c>
      <c r="H30" s="196">
        <f>+F30+G30</f>
        <v>0</v>
      </c>
      <c r="I30" s="350"/>
      <c r="J30" s="298"/>
      <c r="K30" s="745"/>
      <c r="L30" s="745"/>
      <c r="M30" s="747"/>
    </row>
    <row r="31" spans="1:22">
      <c r="A31" s="235">
        <f t="shared" si="1"/>
        <v>113</v>
      </c>
      <c r="B31" s="234"/>
      <c r="C31" s="246" t="s">
        <v>155</v>
      </c>
      <c r="D31" s="232" t="s">
        <v>146</v>
      </c>
      <c r="E31" s="595">
        <v>0</v>
      </c>
      <c r="F31" s="1195">
        <v>0</v>
      </c>
      <c r="G31" s="1194">
        <v>0</v>
      </c>
      <c r="H31" s="196">
        <f t="shared" ref="H31:H42" si="2">+F31+G31</f>
        <v>0</v>
      </c>
      <c r="I31" s="350"/>
      <c r="J31" s="298"/>
      <c r="K31" s="745"/>
      <c r="L31" s="745"/>
      <c r="M31" s="747"/>
    </row>
    <row r="32" spans="1:22">
      <c r="A32" s="235">
        <f t="shared" si="1"/>
        <v>114</v>
      </c>
      <c r="B32" s="234"/>
      <c r="C32" s="226" t="s">
        <v>154</v>
      </c>
      <c r="D32" s="232" t="s">
        <v>146</v>
      </c>
      <c r="E32" s="595">
        <v>0</v>
      </c>
      <c r="F32" s="1195">
        <v>0</v>
      </c>
      <c r="G32" s="1194">
        <v>0</v>
      </c>
      <c r="H32" s="196">
        <f t="shared" si="2"/>
        <v>0</v>
      </c>
      <c r="I32" s="350"/>
      <c r="J32" s="298"/>
      <c r="K32" s="745"/>
      <c r="L32" s="745"/>
      <c r="M32" s="747"/>
    </row>
    <row r="33" spans="1:13">
      <c r="A33" s="235">
        <f t="shared" si="1"/>
        <v>115</v>
      </c>
      <c r="B33" s="234"/>
      <c r="C33" s="226" t="s">
        <v>153</v>
      </c>
      <c r="D33" s="232" t="s">
        <v>146</v>
      </c>
      <c r="E33" s="595">
        <v>0</v>
      </c>
      <c r="F33" s="1195">
        <v>0</v>
      </c>
      <c r="G33" s="1194">
        <v>0</v>
      </c>
      <c r="H33" s="196">
        <f t="shared" si="2"/>
        <v>0</v>
      </c>
      <c r="I33" s="350"/>
      <c r="J33" s="298"/>
      <c r="K33" s="745"/>
      <c r="L33" s="745"/>
      <c r="M33" s="747"/>
    </row>
    <row r="34" spans="1:13">
      <c r="A34" s="235">
        <f t="shared" si="1"/>
        <v>116</v>
      </c>
      <c r="B34" s="234"/>
      <c r="C34" s="246" t="s">
        <v>133</v>
      </c>
      <c r="D34" s="232" t="s">
        <v>146</v>
      </c>
      <c r="E34" s="595">
        <v>0</v>
      </c>
      <c r="F34" s="1195">
        <v>0</v>
      </c>
      <c r="G34" s="1194">
        <v>0</v>
      </c>
      <c r="H34" s="196">
        <f t="shared" si="2"/>
        <v>0</v>
      </c>
      <c r="I34" s="350"/>
      <c r="J34" s="298"/>
      <c r="K34" s="745"/>
      <c r="L34" s="745"/>
      <c r="M34" s="747"/>
    </row>
    <row r="35" spans="1:13">
      <c r="A35" s="235">
        <f t="shared" si="1"/>
        <v>117</v>
      </c>
      <c r="B35" s="234"/>
      <c r="C35" s="226" t="s">
        <v>130</v>
      </c>
      <c r="D35" s="232" t="s">
        <v>146</v>
      </c>
      <c r="E35" s="595">
        <v>0</v>
      </c>
      <c r="F35" s="1195">
        <v>0</v>
      </c>
      <c r="G35" s="1194">
        <v>0</v>
      </c>
      <c r="H35" s="196">
        <f t="shared" si="2"/>
        <v>0</v>
      </c>
      <c r="I35" s="350"/>
      <c r="J35" s="298"/>
      <c r="K35" s="745"/>
      <c r="L35" s="745"/>
      <c r="M35" s="747"/>
    </row>
    <row r="36" spans="1:13">
      <c r="A36" s="235">
        <f t="shared" si="1"/>
        <v>118</v>
      </c>
      <c r="B36" s="234"/>
      <c r="C36" s="226" t="s">
        <v>152</v>
      </c>
      <c r="D36" s="232" t="s">
        <v>146</v>
      </c>
      <c r="E36" s="595">
        <v>0</v>
      </c>
      <c r="F36" s="1195">
        <v>0</v>
      </c>
      <c r="G36" s="1194">
        <v>0</v>
      </c>
      <c r="H36" s="196">
        <f t="shared" si="2"/>
        <v>0</v>
      </c>
      <c r="I36" s="350"/>
      <c r="J36" s="298"/>
      <c r="K36" s="745"/>
      <c r="L36" s="745"/>
      <c r="M36" s="747"/>
    </row>
    <row r="37" spans="1:13">
      <c r="A37" s="235">
        <f t="shared" si="1"/>
        <v>119</v>
      </c>
      <c r="B37" s="234"/>
      <c r="C37" s="246" t="s">
        <v>151</v>
      </c>
      <c r="D37" s="232" t="s">
        <v>146</v>
      </c>
      <c r="E37" s="595">
        <v>0</v>
      </c>
      <c r="F37" s="1195">
        <v>0</v>
      </c>
      <c r="G37" s="1194">
        <v>0</v>
      </c>
      <c r="H37" s="196">
        <f t="shared" si="2"/>
        <v>0</v>
      </c>
      <c r="I37" s="350"/>
      <c r="J37" s="298"/>
      <c r="K37" s="745"/>
      <c r="L37" s="745"/>
      <c r="M37" s="747"/>
    </row>
    <row r="38" spans="1:13">
      <c r="A38" s="235">
        <f t="shared" si="1"/>
        <v>120</v>
      </c>
      <c r="B38" s="234"/>
      <c r="C38" s="226" t="s">
        <v>150</v>
      </c>
      <c r="D38" s="232" t="s">
        <v>146</v>
      </c>
      <c r="E38" s="595">
        <v>0</v>
      </c>
      <c r="F38" s="1195">
        <v>0</v>
      </c>
      <c r="G38" s="1194">
        <v>0</v>
      </c>
      <c r="H38" s="196">
        <f t="shared" si="2"/>
        <v>0</v>
      </c>
      <c r="I38" s="350"/>
      <c r="J38" s="298"/>
      <c r="K38" s="745"/>
      <c r="L38" s="745"/>
      <c r="M38" s="747"/>
    </row>
    <row r="39" spans="1:13">
      <c r="A39" s="235">
        <f t="shared" si="1"/>
        <v>121</v>
      </c>
      <c r="B39" s="234"/>
      <c r="C39" s="226" t="s">
        <v>149</v>
      </c>
      <c r="D39" s="232" t="s">
        <v>146</v>
      </c>
      <c r="E39" s="595">
        <v>0</v>
      </c>
      <c r="F39" s="1195">
        <v>0</v>
      </c>
      <c r="G39" s="1194">
        <v>0</v>
      </c>
      <c r="H39" s="196">
        <f t="shared" si="2"/>
        <v>0</v>
      </c>
      <c r="I39" s="350"/>
      <c r="J39" s="298"/>
      <c r="K39" s="745"/>
      <c r="L39" s="745"/>
      <c r="M39" s="747"/>
    </row>
    <row r="40" spans="1:13">
      <c r="A40" s="235">
        <f t="shared" si="1"/>
        <v>122</v>
      </c>
      <c r="B40" s="234"/>
      <c r="C40" s="246" t="s">
        <v>148</v>
      </c>
      <c r="D40" s="232" t="s">
        <v>146</v>
      </c>
      <c r="E40" s="595">
        <v>0</v>
      </c>
      <c r="F40" s="1195">
        <v>0</v>
      </c>
      <c r="G40" s="1194">
        <v>0</v>
      </c>
      <c r="H40" s="196">
        <f t="shared" si="2"/>
        <v>0</v>
      </c>
      <c r="I40" s="350"/>
      <c r="J40" s="298"/>
      <c r="K40" s="745"/>
      <c r="L40" s="745"/>
      <c r="M40" s="747"/>
    </row>
    <row r="41" spans="1:13">
      <c r="A41" s="235">
        <f t="shared" si="1"/>
        <v>123</v>
      </c>
      <c r="B41" s="234"/>
      <c r="C41" s="246" t="s">
        <v>147</v>
      </c>
      <c r="D41" s="232" t="s">
        <v>146</v>
      </c>
      <c r="E41" s="595">
        <v>0</v>
      </c>
      <c r="F41" s="1195">
        <v>0</v>
      </c>
      <c r="G41" s="1194">
        <v>0</v>
      </c>
      <c r="H41" s="196">
        <f t="shared" si="2"/>
        <v>0</v>
      </c>
      <c r="I41" s="350"/>
      <c r="J41" s="298"/>
      <c r="K41" s="745"/>
      <c r="L41" s="745"/>
      <c r="M41" s="747"/>
    </row>
    <row r="42" spans="1:13">
      <c r="A42" s="235">
        <f t="shared" si="1"/>
        <v>124</v>
      </c>
      <c r="B42" s="234"/>
      <c r="C42" s="223" t="s">
        <v>145</v>
      </c>
      <c r="D42" s="715" t="s">
        <v>250</v>
      </c>
      <c r="E42" s="596">
        <v>0</v>
      </c>
      <c r="F42" s="1197">
        <v>0</v>
      </c>
      <c r="G42" s="1196">
        <v>0</v>
      </c>
      <c r="H42" s="1490">
        <f t="shared" si="2"/>
        <v>0</v>
      </c>
      <c r="I42" s="350"/>
      <c r="J42" s="298"/>
      <c r="K42" s="745"/>
      <c r="L42" s="745"/>
      <c r="M42" s="747"/>
    </row>
    <row r="43" spans="1:13">
      <c r="A43" s="235">
        <f t="shared" si="1"/>
        <v>125</v>
      </c>
      <c r="B43" s="234"/>
      <c r="C43" s="257" t="s">
        <v>197</v>
      </c>
      <c r="D43" s="213" t="str">
        <f>"(sum lines "&amp;A30&amp;"-"&amp;A42&amp;") /13"</f>
        <v>(sum lines 112-124) /13</v>
      </c>
      <c r="E43" s="255"/>
      <c r="F43" s="215">
        <f>SUM(F30:F42)/13</f>
        <v>0</v>
      </c>
      <c r="G43" s="327">
        <f>SUM(G30:G42)/13</f>
        <v>0</v>
      </c>
      <c r="H43" s="215">
        <f>SUM(H30:H42)/13</f>
        <v>0</v>
      </c>
      <c r="I43" s="350"/>
      <c r="J43" s="298"/>
      <c r="K43" s="745"/>
      <c r="L43" s="745"/>
      <c r="M43" s="747"/>
    </row>
    <row r="44" spans="1:13">
      <c r="A44" s="235"/>
      <c r="B44" s="234"/>
      <c r="C44" s="257"/>
      <c r="D44" s="213"/>
      <c r="E44" s="255"/>
      <c r="F44" s="215"/>
      <c r="G44" s="327"/>
      <c r="H44" s="215"/>
      <c r="I44" s="350"/>
      <c r="J44" s="298"/>
      <c r="K44" s="1358"/>
      <c r="L44" s="1358"/>
      <c r="M44" s="1359"/>
    </row>
    <row r="45" spans="1:13" ht="15.75" thickBot="1">
      <c r="A45" s="244"/>
      <c r="B45" s="243"/>
      <c r="C45" s="1475" t="s">
        <v>1019</v>
      </c>
      <c r="D45" s="766"/>
      <c r="E45" s="289"/>
      <c r="F45" s="205"/>
      <c r="G45" s="767"/>
      <c r="H45" s="302"/>
      <c r="I45" s="295"/>
      <c r="J45" s="768"/>
      <c r="K45" s="769"/>
      <c r="L45" s="769"/>
      <c r="M45" s="770"/>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685"/>
      <c r="K48" s="1685"/>
      <c r="L48" s="1685"/>
      <c r="M48" s="1686"/>
    </row>
    <row r="49" spans="1:13" ht="13.5" thickBot="1">
      <c r="A49" s="220" t="str">
        <f>+C51</f>
        <v>LAND HELD FOR FUTURE USE</v>
      </c>
    </row>
    <row r="50" spans="1:13" ht="50.25" customHeight="1">
      <c r="A50" s="1675" t="s">
        <v>496</v>
      </c>
      <c r="B50" s="1676"/>
      <c r="C50" s="1676"/>
      <c r="D50" s="1676"/>
      <c r="E50" s="1676"/>
      <c r="F50" s="1687"/>
      <c r="G50" s="267" t="s">
        <v>140</v>
      </c>
      <c r="H50" s="236" t="s">
        <v>139</v>
      </c>
      <c r="I50" s="236" t="s">
        <v>235</v>
      </c>
      <c r="J50" s="1677" t="s">
        <v>109</v>
      </c>
      <c r="K50" s="1701"/>
      <c r="L50" s="1701"/>
      <c r="M50" s="1702"/>
    </row>
    <row r="51" spans="1:13">
      <c r="A51" s="235">
        <f>+A43+1</f>
        <v>126</v>
      </c>
      <c r="B51" s="234"/>
      <c r="C51" s="257" t="str">
        <f>+'Appendix III'!C83</f>
        <v>LAND HELD FOR FUTURE USE</v>
      </c>
      <c r="D51" s="294"/>
      <c r="E51" s="226" t="s">
        <v>143</v>
      </c>
      <c r="F51" s="207" t="s">
        <v>20</v>
      </c>
      <c r="G51" s="264">
        <v>0</v>
      </c>
      <c r="H51" s="224">
        <v>0</v>
      </c>
      <c r="I51" s="299">
        <f>(+G51+H51)/2</f>
        <v>0</v>
      </c>
      <c r="J51" s="298"/>
      <c r="K51" s="297"/>
      <c r="L51" s="297"/>
      <c r="M51" s="296"/>
    </row>
    <row r="52" spans="1:13">
      <c r="A52" s="231"/>
      <c r="B52" s="300"/>
      <c r="C52" s="300"/>
      <c r="D52" s="300"/>
      <c r="E52" s="208"/>
      <c r="F52" s="430" t="s">
        <v>124</v>
      </c>
      <c r="G52" s="264">
        <v>0</v>
      </c>
      <c r="H52" s="224">
        <v>0</v>
      </c>
      <c r="I52" s="299"/>
      <c r="J52" s="298"/>
      <c r="K52" s="297"/>
      <c r="L52" s="297"/>
      <c r="M52" s="296"/>
    </row>
    <row r="53" spans="1:13" ht="15.75" thickBot="1">
      <c r="A53" s="206"/>
      <c r="B53" s="205"/>
      <c r="C53" s="1475" t="s">
        <v>1018</v>
      </c>
      <c r="D53" s="205"/>
      <c r="E53" s="205"/>
      <c r="F53" s="431" t="s">
        <v>110</v>
      </c>
      <c r="G53" s="261">
        <v>0</v>
      </c>
      <c r="H53" s="260">
        <v>0</v>
      </c>
      <c r="I53" s="295">
        <f>+(G53+H53)/2</f>
        <v>0</v>
      </c>
      <c r="J53" s="1685"/>
      <c r="K53" s="1685"/>
      <c r="L53" s="1685"/>
      <c r="M53" s="1686"/>
    </row>
    <row r="54" spans="1:13">
      <c r="A54" s="234"/>
      <c r="B54" s="234"/>
      <c r="C54" s="257"/>
      <c r="D54" s="294"/>
      <c r="E54" s="269"/>
      <c r="F54" s="226"/>
      <c r="G54" s="214"/>
      <c r="H54" s="214"/>
      <c r="I54" s="214"/>
      <c r="J54" s="212"/>
      <c r="K54" s="212"/>
      <c r="L54" s="212"/>
      <c r="M54" s="212"/>
    </row>
    <row r="55" spans="1:13" ht="12" customHeight="1"/>
    <row r="56" spans="1:13" ht="13.5" thickBot="1">
      <c r="A56" s="220" t="s">
        <v>320</v>
      </c>
    </row>
    <row r="57" spans="1:13">
      <c r="A57" s="1675"/>
      <c r="B57" s="1676"/>
      <c r="C57" s="1676"/>
      <c r="D57" s="1676"/>
      <c r="E57" s="1676"/>
      <c r="F57" s="1676"/>
      <c r="G57" s="236"/>
      <c r="H57" s="236"/>
      <c r="I57" s="236"/>
      <c r="J57" s="1677"/>
      <c r="K57" s="1689"/>
      <c r="L57" s="1689"/>
      <c r="M57" s="1690"/>
    </row>
    <row r="58" spans="1:13" ht="25.5">
      <c r="A58" s="235">
        <f>+A51+1</f>
        <v>127</v>
      </c>
      <c r="B58" s="276"/>
      <c r="C58" s="232" t="s">
        <v>321</v>
      </c>
      <c r="D58" s="232"/>
      <c r="E58" s="660" t="s">
        <v>17</v>
      </c>
      <c r="F58" s="660" t="s">
        <v>327</v>
      </c>
      <c r="G58" s="212" t="s">
        <v>326</v>
      </c>
      <c r="H58" s="229" t="s">
        <v>328</v>
      </c>
      <c r="I58" s="229"/>
      <c r="J58" s="1663"/>
      <c r="K58" s="1664"/>
      <c r="L58" s="1664"/>
      <c r="M58" s="1665"/>
    </row>
    <row r="59" spans="1:13" ht="15">
      <c r="A59" s="235"/>
      <c r="B59" s="390"/>
      <c r="C59" s="391"/>
      <c r="D59" s="707" t="s">
        <v>322</v>
      </c>
      <c r="E59" s="709">
        <v>0</v>
      </c>
      <c r="F59" s="671">
        <v>0</v>
      </c>
      <c r="G59" s="671"/>
      <c r="H59" s="663">
        <f>+G59*F59*E59</f>
        <v>0</v>
      </c>
      <c r="I59" s="391"/>
      <c r="J59" s="390"/>
      <c r="K59" s="391"/>
      <c r="L59" s="391"/>
      <c r="M59" s="395"/>
    </row>
    <row r="60" spans="1:13" ht="15">
      <c r="A60" s="235"/>
      <c r="B60" s="390"/>
      <c r="C60" s="664"/>
      <c r="D60" s="707" t="s">
        <v>323</v>
      </c>
      <c r="E60" s="673">
        <v>0</v>
      </c>
      <c r="F60" s="671">
        <v>0</v>
      </c>
      <c r="G60" s="671"/>
      <c r="H60" s="663">
        <f>+G60*F60*E60</f>
        <v>0</v>
      </c>
      <c r="I60" s="391"/>
      <c r="J60" s="390"/>
      <c r="K60" s="391"/>
      <c r="L60" s="391"/>
      <c r="M60" s="395"/>
    </row>
    <row r="61" spans="1:13" ht="15">
      <c r="A61" s="235"/>
      <c r="B61" s="390"/>
      <c r="C61" s="664"/>
      <c r="D61" s="707" t="s">
        <v>324</v>
      </c>
      <c r="E61" s="673"/>
      <c r="F61" s="671"/>
      <c r="G61" s="671"/>
      <c r="H61" s="663"/>
      <c r="I61" s="391"/>
      <c r="J61" s="390"/>
      <c r="K61" s="391"/>
      <c r="L61" s="391"/>
      <c r="M61" s="395"/>
    </row>
    <row r="62" spans="1:13" ht="15">
      <c r="A62" s="235"/>
      <c r="B62" s="390"/>
      <c r="C62" s="664"/>
      <c r="D62" s="707" t="s">
        <v>379</v>
      </c>
      <c r="E62" s="673"/>
      <c r="F62" s="671"/>
      <c r="G62" s="671"/>
      <c r="H62" s="663"/>
      <c r="I62" s="391"/>
      <c r="J62" s="390"/>
      <c r="K62" s="391"/>
      <c r="L62" s="391"/>
      <c r="M62" s="395"/>
    </row>
    <row r="63" spans="1:13" ht="15">
      <c r="A63" s="235"/>
      <c r="B63" s="390"/>
      <c r="C63" s="664"/>
      <c r="D63" s="707" t="s">
        <v>380</v>
      </c>
      <c r="E63" s="673"/>
      <c r="F63" s="671"/>
      <c r="G63" s="671"/>
      <c r="H63" s="663"/>
      <c r="I63" s="391"/>
      <c r="J63" s="390"/>
      <c r="K63" s="391"/>
      <c r="L63" s="391"/>
      <c r="M63" s="395"/>
    </row>
    <row r="64" spans="1:13" ht="15">
      <c r="A64" s="235"/>
      <c r="B64" s="390"/>
      <c r="C64" s="664"/>
      <c r="D64" s="708" t="s">
        <v>380</v>
      </c>
      <c r="E64" s="710">
        <v>0</v>
      </c>
      <c r="F64" s="711">
        <v>0</v>
      </c>
      <c r="G64" s="671"/>
      <c r="H64" s="663">
        <f>+G64*F64*E64</f>
        <v>0</v>
      </c>
      <c r="I64" s="391"/>
      <c r="J64" s="390"/>
      <c r="K64" s="391"/>
      <c r="L64" s="391"/>
      <c r="M64" s="395"/>
    </row>
    <row r="65" spans="1:13" ht="15">
      <c r="A65" s="235"/>
      <c r="B65" s="390"/>
      <c r="C65" s="664"/>
      <c r="D65" s="232" t="s">
        <v>20</v>
      </c>
      <c r="E65" s="665">
        <f>SUM(E59:E64)</f>
        <v>0</v>
      </c>
      <c r="F65" s="661"/>
      <c r="G65" s="662"/>
      <c r="H65" s="663">
        <f>SUM(H59:H64)</f>
        <v>0</v>
      </c>
      <c r="I65" s="391"/>
      <c r="J65" s="390"/>
      <c r="K65" s="391"/>
      <c r="L65" s="391"/>
      <c r="M65" s="395"/>
    </row>
    <row r="66" spans="1:13" ht="15">
      <c r="A66" s="235"/>
      <c r="B66" s="390"/>
      <c r="C66" s="664"/>
      <c r="D66" s="232"/>
      <c r="E66" s="229"/>
      <c r="F66" s="394"/>
      <c r="G66" s="662"/>
      <c r="H66" s="663"/>
      <c r="I66" s="391"/>
      <c r="J66" s="390"/>
      <c r="K66" s="391"/>
      <c r="L66" s="391"/>
      <c r="M66" s="395"/>
    </row>
    <row r="67" spans="1:13" ht="15.75">
      <c r="A67" s="235"/>
      <c r="B67" s="390"/>
      <c r="C67" s="666" t="s">
        <v>361</v>
      </c>
      <c r="D67" s="667"/>
      <c r="E67" s="387"/>
      <c r="F67" s="668"/>
      <c r="G67" s="669"/>
      <c r="H67" s="670"/>
      <c r="I67" s="391"/>
      <c r="J67" s="390"/>
      <c r="K67" s="391"/>
      <c r="L67" s="391"/>
      <c r="M67" s="395"/>
    </row>
    <row r="68" spans="1:13" ht="15.75">
      <c r="A68" s="235"/>
      <c r="B68" s="390"/>
      <c r="C68" s="666" t="s">
        <v>378</v>
      </c>
      <c r="D68" s="667"/>
      <c r="E68" s="387"/>
      <c r="F68" s="668"/>
      <c r="G68" s="669"/>
      <c r="H68" s="670"/>
      <c r="I68" s="391"/>
      <c r="J68" s="390"/>
      <c r="K68" s="391"/>
      <c r="L68" s="391"/>
      <c r="M68" s="395"/>
    </row>
    <row r="69" spans="1:13" ht="15.75">
      <c r="A69" s="235"/>
      <c r="B69" s="390"/>
      <c r="C69" s="666" t="s">
        <v>362</v>
      </c>
      <c r="D69" s="667"/>
      <c r="E69" s="387"/>
      <c r="F69" s="668"/>
      <c r="G69" s="669"/>
      <c r="H69" s="670"/>
      <c r="I69" s="391"/>
      <c r="J69" s="390"/>
      <c r="K69" s="391"/>
      <c r="L69" s="391"/>
      <c r="M69" s="395"/>
    </row>
    <row r="70" spans="1:13" ht="15.75">
      <c r="A70" s="235"/>
      <c r="B70" s="390"/>
      <c r="C70" s="666" t="s">
        <v>1017</v>
      </c>
      <c r="D70" s="667"/>
      <c r="E70" s="387"/>
      <c r="F70" s="668"/>
      <c r="G70" s="669"/>
      <c r="H70" s="670"/>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4" t="s">
        <v>128</v>
      </c>
      <c r="B72" s="605"/>
      <c r="C72" s="605"/>
      <c r="D72" s="605"/>
      <c r="E72" s="605"/>
      <c r="F72" s="605"/>
      <c r="G72" s="605"/>
      <c r="H72" s="605"/>
      <c r="I72" s="605"/>
      <c r="J72" s="605"/>
      <c r="K72" s="605"/>
      <c r="L72" s="605"/>
      <c r="M72" s="606"/>
    </row>
    <row r="73" spans="1:13">
      <c r="A73" s="1691" t="s">
        <v>496</v>
      </c>
      <c r="B73" s="1692"/>
      <c r="C73" s="1692"/>
      <c r="D73" s="1692"/>
      <c r="E73" s="1692"/>
      <c r="F73" s="1692"/>
      <c r="G73" s="601"/>
      <c r="H73" s="601"/>
      <c r="I73" s="601"/>
      <c r="J73" s="1693" t="s">
        <v>109</v>
      </c>
      <c r="K73" s="1653"/>
      <c r="L73" s="1653"/>
      <c r="M73" s="1694"/>
    </row>
    <row r="74" spans="1:13">
      <c r="A74" s="235"/>
      <c r="B74" s="276" t="s">
        <v>126</v>
      </c>
      <c r="C74" s="232"/>
      <c r="D74" s="232"/>
      <c r="E74" s="293"/>
      <c r="F74" s="232"/>
      <c r="G74" s="208"/>
      <c r="H74" s="208"/>
      <c r="I74" s="208"/>
      <c r="J74" s="1663"/>
      <c r="K74" s="1664"/>
      <c r="L74" s="1664"/>
      <c r="M74" s="1665"/>
    </row>
    <row r="75" spans="1:13" ht="15">
      <c r="A75" s="235"/>
      <c r="B75" s="390"/>
      <c r="C75" s="391"/>
      <c r="D75" s="392" t="s">
        <v>7</v>
      </c>
      <c r="E75" s="393" t="s">
        <v>127</v>
      </c>
      <c r="F75" s="230"/>
      <c r="G75" s="230" t="s">
        <v>963</v>
      </c>
      <c r="H75" s="212"/>
      <c r="I75" s="391"/>
      <c r="J75" s="390"/>
      <c r="K75" s="391"/>
      <c r="L75" s="391"/>
      <c r="M75" s="395"/>
    </row>
    <row r="76" spans="1:13" ht="15">
      <c r="A76" s="235">
        <f>+A58+1</f>
        <v>128</v>
      </c>
      <c r="B76" s="390"/>
      <c r="C76" s="226" t="s">
        <v>1003</v>
      </c>
      <c r="D76" s="391"/>
      <c r="E76" s="226" t="s">
        <v>446</v>
      </c>
      <c r="F76" s="226"/>
      <c r="G76" s="616"/>
      <c r="H76" s="602"/>
      <c r="I76" s="391"/>
      <c r="J76" s="390"/>
      <c r="K76" s="391"/>
      <c r="L76" s="391"/>
      <c r="M76" s="395"/>
    </row>
    <row r="77" spans="1:13" ht="15">
      <c r="A77" s="235"/>
      <c r="B77" s="390"/>
      <c r="C77" s="414"/>
      <c r="D77" s="391"/>
      <c r="E77" s="414"/>
      <c r="F77" s="226"/>
      <c r="G77" s="427"/>
      <c r="H77" s="602"/>
      <c r="I77" s="391"/>
      <c r="J77" s="390"/>
      <c r="K77" s="391"/>
      <c r="L77" s="391"/>
      <c r="M77" s="395"/>
    </row>
    <row r="78" spans="1:13" ht="15">
      <c r="A78" s="235" t="s">
        <v>1004</v>
      </c>
      <c r="B78" s="391"/>
      <c r="C78" s="612" t="s">
        <v>1005</v>
      </c>
      <c r="D78" s="229"/>
      <c r="E78" s="229"/>
      <c r="F78" s="229"/>
      <c r="G78" s="718"/>
      <c r="H78" s="229"/>
      <c r="I78" s="391"/>
      <c r="J78" s="391"/>
      <c r="K78" s="391"/>
      <c r="L78" s="391"/>
      <c r="M78" s="395"/>
    </row>
    <row r="79" spans="1:13" ht="15">
      <c r="A79" s="235"/>
      <c r="B79" s="391"/>
      <c r="C79" s="1444"/>
      <c r="D79" s="229"/>
      <c r="E79" s="229"/>
      <c r="F79" s="229"/>
      <c r="G79" s="718"/>
      <c r="H79" s="229"/>
      <c r="I79" s="391"/>
      <c r="J79" s="391"/>
      <c r="K79" s="391"/>
      <c r="L79" s="391"/>
      <c r="M79" s="395"/>
    </row>
    <row r="80" spans="1:13" ht="15">
      <c r="A80" s="235"/>
      <c r="B80" s="391"/>
      <c r="C80" s="1444"/>
      <c r="D80" s="229"/>
      <c r="E80" s="229"/>
      <c r="F80" s="229"/>
      <c r="G80" s="718"/>
      <c r="H80" s="229"/>
      <c r="I80" s="391"/>
      <c r="J80" s="391"/>
      <c r="K80" s="391"/>
      <c r="L80" s="391"/>
      <c r="M80" s="395"/>
    </row>
    <row r="81" spans="1:13" ht="15">
      <c r="A81" s="235"/>
      <c r="B81" s="391"/>
      <c r="C81" s="1444"/>
      <c r="D81" s="229"/>
      <c r="E81" s="229"/>
      <c r="F81" s="229"/>
      <c r="G81" s="718"/>
      <c r="H81" s="229"/>
      <c r="I81" s="391"/>
      <c r="J81" s="391"/>
      <c r="K81" s="391"/>
      <c r="L81" s="391"/>
      <c r="M81" s="395"/>
    </row>
    <row r="82" spans="1:13" ht="15">
      <c r="A82" s="235"/>
      <c r="B82" s="391"/>
      <c r="C82" s="1444"/>
      <c r="D82" s="229"/>
      <c r="E82" s="229"/>
      <c r="F82" s="229"/>
      <c r="G82" s="718"/>
      <c r="H82" s="229"/>
      <c r="I82" s="391"/>
      <c r="J82" s="391"/>
      <c r="K82" s="391"/>
      <c r="L82" s="391"/>
      <c r="M82" s="395"/>
    </row>
    <row r="83" spans="1:13" ht="15.75" thickBot="1">
      <c r="A83" s="206"/>
      <c r="B83" s="205"/>
      <c r="C83" s="613"/>
      <c r="D83" s="221"/>
      <c r="E83" s="221"/>
      <c r="F83" s="221"/>
      <c r="G83" s="221"/>
      <c r="H83" s="221"/>
      <c r="I83" s="221"/>
      <c r="J83" s="221"/>
      <c r="K83" s="205"/>
      <c r="L83" s="205"/>
      <c r="M83" s="204"/>
    </row>
    <row r="84" spans="1:13" s="188" customFormat="1" ht="15">
      <c r="A84" s="265"/>
      <c r="C84" s="603"/>
    </row>
    <row r="85" spans="1:13" s="607" customFormat="1" ht="13.5" thickBot="1">
      <c r="A85" s="610" t="s">
        <v>125</v>
      </c>
      <c r="B85" s="611"/>
      <c r="C85" s="611"/>
      <c r="D85" s="611"/>
      <c r="E85" s="611"/>
      <c r="F85" s="611"/>
      <c r="G85" s="611"/>
      <c r="H85" s="611"/>
      <c r="I85" s="611"/>
      <c r="J85" s="611"/>
      <c r="K85" s="611"/>
      <c r="L85" s="611"/>
      <c r="M85" s="611"/>
    </row>
    <row r="86" spans="1:13" s="607" customFormat="1" ht="25.5">
      <c r="A86" s="1680" t="s">
        <v>496</v>
      </c>
      <c r="B86" s="1681"/>
      <c r="C86" s="1681"/>
      <c r="D86" s="1681"/>
      <c r="E86" s="1681"/>
      <c r="F86" s="1681"/>
      <c r="G86" s="608" t="s">
        <v>117</v>
      </c>
      <c r="H86" s="313" t="s">
        <v>110</v>
      </c>
      <c r="I86" s="313" t="s">
        <v>124</v>
      </c>
      <c r="J86" s="1682" t="s">
        <v>366</v>
      </c>
      <c r="K86" s="1683"/>
      <c r="L86" s="1683"/>
      <c r="M86" s="1684"/>
    </row>
    <row r="87" spans="1:13" s="607" customFormat="1">
      <c r="A87" s="235"/>
      <c r="B87" s="276" t="s">
        <v>115</v>
      </c>
      <c r="C87" s="246"/>
      <c r="D87" s="232"/>
      <c r="E87" s="255"/>
      <c r="F87" s="246"/>
      <c r="G87" s="187"/>
      <c r="H87" s="609"/>
      <c r="I87" s="272"/>
      <c r="J87" s="229"/>
      <c r="K87" s="229"/>
      <c r="L87" s="229"/>
      <c r="M87" s="228"/>
    </row>
    <row r="88" spans="1:13" s="607" customFormat="1" ht="15">
      <c r="A88" s="235"/>
      <c r="B88" s="276"/>
      <c r="C88" s="246"/>
      <c r="D88" s="232"/>
      <c r="E88" s="255"/>
      <c r="F88" s="246"/>
      <c r="G88" s="187"/>
      <c r="H88" s="609"/>
      <c r="I88" s="272"/>
      <c r="J88" s="619"/>
      <c r="K88" s="229"/>
      <c r="L88" s="229"/>
      <c r="M88" s="228"/>
    </row>
    <row r="89" spans="1:13" s="607" customFormat="1">
      <c r="A89" s="235">
        <f>+A76+1</f>
        <v>129</v>
      </c>
      <c r="B89" s="620"/>
      <c r="C89" s="226" t="s">
        <v>191</v>
      </c>
      <c r="D89" s="621"/>
      <c r="E89" s="269"/>
      <c r="F89" s="226" t="s">
        <v>270</v>
      </c>
      <c r="G89" s="623"/>
      <c r="H89" s="622"/>
      <c r="I89" s="233">
        <f>+G89-H89</f>
        <v>0</v>
      </c>
      <c r="J89" s="229"/>
      <c r="K89" s="229"/>
      <c r="L89" s="229"/>
      <c r="M89" s="228"/>
    </row>
    <row r="90" spans="1:13" s="607" customFormat="1">
      <c r="A90" s="235"/>
      <c r="B90" s="276"/>
      <c r="C90" s="246"/>
      <c r="D90" s="232"/>
      <c r="E90" s="255"/>
      <c r="F90" s="246"/>
      <c r="G90" s="187"/>
      <c r="H90" s="609"/>
      <c r="I90" s="272"/>
      <c r="J90" s="229"/>
      <c r="K90" s="229"/>
      <c r="L90" s="229"/>
      <c r="M90" s="228"/>
    </row>
    <row r="91" spans="1:13" s="607" customFormat="1" ht="13.5" thickBot="1">
      <c r="A91" s="222"/>
      <c r="B91" s="221"/>
      <c r="C91" s="221"/>
      <c r="D91" s="221"/>
      <c r="E91" s="221"/>
      <c r="F91" s="221"/>
      <c r="G91" s="222" t="s">
        <v>367</v>
      </c>
      <c r="H91" s="221"/>
      <c r="I91" s="221"/>
      <c r="J91" s="1685"/>
      <c r="K91" s="1685"/>
      <c r="L91" s="1685"/>
      <c r="M91" s="1686"/>
    </row>
    <row r="94" spans="1:13" ht="13.5" thickBot="1">
      <c r="A94" s="220" t="s">
        <v>233</v>
      </c>
    </row>
    <row r="95" spans="1:13">
      <c r="A95" s="1675" t="s">
        <v>496</v>
      </c>
      <c r="B95" s="1676"/>
      <c r="C95" s="1676"/>
      <c r="D95" s="1676"/>
      <c r="E95" s="1676"/>
      <c r="F95" s="1687"/>
      <c r="G95" s="236" t="s">
        <v>123</v>
      </c>
      <c r="H95" s="236" t="s">
        <v>122</v>
      </c>
      <c r="I95" s="236" t="s">
        <v>121</v>
      </c>
      <c r="J95" s="236" t="s">
        <v>120</v>
      </c>
      <c r="K95" s="236" t="s">
        <v>119</v>
      </c>
      <c r="L95" s="1677" t="s">
        <v>236</v>
      </c>
      <c r="M95" s="1688"/>
    </row>
    <row r="96" spans="1:13">
      <c r="A96" s="288" t="s">
        <v>7</v>
      </c>
      <c r="B96" s="287" t="s">
        <v>118</v>
      </c>
      <c r="C96" s="213"/>
      <c r="D96" s="213"/>
      <c r="E96" s="214"/>
      <c r="F96" s="286"/>
      <c r="G96" s="208"/>
      <c r="H96" s="208"/>
      <c r="I96" s="208"/>
      <c r="J96" s="208"/>
      <c r="K96" s="208"/>
      <c r="L96" s="208"/>
      <c r="M96" s="207"/>
    </row>
    <row r="97" spans="1:13">
      <c r="A97" s="288"/>
      <c r="B97" s="287"/>
      <c r="C97" s="213"/>
      <c r="D97" s="213"/>
      <c r="E97" s="214"/>
      <c r="F97" s="286"/>
      <c r="G97" s="723"/>
      <c r="H97" s="285"/>
      <c r="I97" s="285"/>
      <c r="J97" s="285"/>
      <c r="K97" s="285"/>
      <c r="L97" s="272"/>
      <c r="M97" s="284"/>
    </row>
    <row r="98" spans="1:13">
      <c r="A98" s="288">
        <f>+A89+1</f>
        <v>130</v>
      </c>
      <c r="B98" s="287"/>
      <c r="C98" s="445" t="s">
        <v>136</v>
      </c>
      <c r="D98" s="213"/>
      <c r="E98" s="214"/>
      <c r="F98" s="286"/>
      <c r="G98" s="858">
        <v>8.8400000000000006E-2</v>
      </c>
      <c r="H98" s="446"/>
      <c r="I98" s="447"/>
      <c r="J98" s="447"/>
      <c r="K98" s="433"/>
      <c r="L98" s="859">
        <f>+G98</f>
        <v>8.8400000000000006E-2</v>
      </c>
      <c r="M98" s="284"/>
    </row>
    <row r="99" spans="1:13" ht="13.5" thickBot="1">
      <c r="A99" s="271"/>
      <c r="B99" s="283"/>
      <c r="C99" s="205" t="s">
        <v>302</v>
      </c>
      <c r="D99" s="282"/>
      <c r="E99" s="279"/>
      <c r="F99" s="281"/>
      <c r="G99" s="205"/>
      <c r="H99" s="205"/>
      <c r="I99" s="205"/>
      <c r="J99" s="205"/>
      <c r="K99" s="205"/>
      <c r="L99" s="205"/>
      <c r="M99" s="280"/>
    </row>
    <row r="101" spans="1:13" ht="13.5" thickBot="1">
      <c r="A101" s="615" t="s">
        <v>365</v>
      </c>
      <c r="B101" s="409"/>
      <c r="C101" s="409"/>
      <c r="D101" s="409"/>
      <c r="E101" s="409"/>
      <c r="F101" s="409"/>
      <c r="G101" s="409"/>
      <c r="H101" s="409"/>
      <c r="I101" s="409"/>
      <c r="J101" s="409"/>
      <c r="K101" s="409"/>
      <c r="L101" s="409"/>
      <c r="M101" s="409"/>
    </row>
    <row r="102" spans="1:13" ht="78.75" customHeight="1">
      <c r="A102" s="1668" t="s">
        <v>496</v>
      </c>
      <c r="B102" s="1669"/>
      <c r="C102" s="1669"/>
      <c r="D102" s="1669"/>
      <c r="E102" s="1669"/>
      <c r="F102" s="1670"/>
      <c r="G102" s="396" t="s">
        <v>117</v>
      </c>
      <c r="H102" s="397" t="s">
        <v>364</v>
      </c>
      <c r="I102" s="397" t="s">
        <v>116</v>
      </c>
      <c r="J102" s="1671" t="s">
        <v>109</v>
      </c>
      <c r="K102" s="1671"/>
      <c r="L102" s="1671"/>
      <c r="M102" s="1672"/>
    </row>
    <row r="103" spans="1:13">
      <c r="A103" s="398"/>
      <c r="B103" s="276" t="s">
        <v>115</v>
      </c>
      <c r="C103" s="399"/>
      <c r="D103" s="400"/>
      <c r="E103" s="401"/>
      <c r="F103" s="400"/>
      <c r="G103" s="402"/>
      <c r="H103" s="399"/>
      <c r="I103" s="399"/>
      <c r="J103" s="399"/>
      <c r="K103" s="399"/>
      <c r="L103" s="399"/>
      <c r="M103" s="403"/>
    </row>
    <row r="104" spans="1:13" ht="13.5" thickBot="1">
      <c r="A104" s="404">
        <f>+A98+1</f>
        <v>131</v>
      </c>
      <c r="B104" s="405"/>
      <c r="C104" s="406" t="s">
        <v>192</v>
      </c>
      <c r="D104" s="407"/>
      <c r="E104" s="408"/>
      <c r="F104" s="406" t="s">
        <v>142</v>
      </c>
      <c r="G104" s="617"/>
      <c r="H104" s="618"/>
      <c r="I104" s="410">
        <f>G104-H104</f>
        <v>0</v>
      </c>
      <c r="J104" s="1673"/>
      <c r="K104" s="1673"/>
      <c r="L104" s="1673"/>
      <c r="M104" s="1674"/>
    </row>
    <row r="106" spans="1:13" ht="13.5" thickBot="1">
      <c r="A106" s="220" t="s">
        <v>114</v>
      </c>
    </row>
    <row r="107" spans="1:13" ht="38.25">
      <c r="A107" s="1675" t="s">
        <v>496</v>
      </c>
      <c r="B107" s="1676"/>
      <c r="C107" s="1676"/>
      <c r="D107" s="1676"/>
      <c r="E107" s="1676"/>
      <c r="F107" s="1676"/>
      <c r="G107" s="267" t="str">
        <f>+C109</f>
        <v>Excluded Transmission Facilities</v>
      </c>
      <c r="H107" s="1677" t="s">
        <v>113</v>
      </c>
      <c r="I107" s="1678"/>
      <c r="J107" s="1678"/>
      <c r="K107" s="1678"/>
      <c r="L107" s="1678"/>
      <c r="M107" s="1679"/>
    </row>
    <row r="108" spans="1:13">
      <c r="A108" s="278"/>
      <c r="B108" s="277" t="s">
        <v>112</v>
      </c>
      <c r="C108" s="276"/>
      <c r="D108" s="256"/>
      <c r="E108" s="275"/>
      <c r="F108" s="274"/>
      <c r="G108" s="273"/>
      <c r="H108" s="208"/>
      <c r="I108" s="208"/>
      <c r="J108" s="208"/>
      <c r="K108" s="208"/>
      <c r="L108" s="208"/>
      <c r="M108" s="207"/>
    </row>
    <row r="109" spans="1:13">
      <c r="A109" s="235">
        <f>+A104+1</f>
        <v>132</v>
      </c>
      <c r="B109" s="234"/>
      <c r="C109" s="226" t="s">
        <v>193</v>
      </c>
      <c r="D109" s="256"/>
      <c r="E109" s="269"/>
      <c r="F109" s="226"/>
      <c r="G109" s="972">
        <v>0</v>
      </c>
      <c r="H109" s="1663" t="s">
        <v>111</v>
      </c>
      <c r="I109" s="1664"/>
      <c r="J109" s="1664"/>
      <c r="K109" s="1664"/>
      <c r="L109" s="1664"/>
      <c r="M109" s="1665"/>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108</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141</v>
      </c>
      <c r="F114" s="205"/>
      <c r="G114" s="208"/>
      <c r="H114" s="208"/>
    </row>
    <row r="115" spans="1:13">
      <c r="A115" s="259" t="s">
        <v>496</v>
      </c>
      <c r="B115" s="817"/>
      <c r="C115" s="817"/>
      <c r="D115" s="258"/>
      <c r="E115" s="258"/>
      <c r="F115" s="258"/>
      <c r="G115" s="818"/>
      <c r="H115" s="818"/>
      <c r="I115" s="818"/>
      <c r="J115" s="818"/>
      <c r="K115" s="818"/>
      <c r="L115" s="818"/>
      <c r="M115" s="819"/>
    </row>
    <row r="116" spans="1:13">
      <c r="A116" s="187"/>
      <c r="B116" s="257"/>
      <c r="C116" s="351"/>
      <c r="D116" s="352"/>
      <c r="E116" s="208"/>
      <c r="F116" s="208"/>
      <c r="G116" s="291"/>
      <c r="H116" s="266"/>
      <c r="I116" s="253"/>
      <c r="J116" s="232"/>
      <c r="K116" s="252"/>
      <c r="L116" s="232"/>
      <c r="M116" s="251"/>
    </row>
    <row r="117" spans="1:13" s="188" customFormat="1" ht="31.5">
      <c r="A117" s="231"/>
      <c r="B117" s="229"/>
      <c r="C117" s="202" t="s">
        <v>474</v>
      </c>
      <c r="D117" s="229"/>
      <c r="E117" s="589" t="s">
        <v>138</v>
      </c>
      <c r="F117" s="589" t="s">
        <v>194</v>
      </c>
      <c r="G117" s="589" t="s">
        <v>467</v>
      </c>
      <c r="H117" s="589" t="s">
        <v>20</v>
      </c>
      <c r="I117" s="202"/>
      <c r="J117" s="250"/>
      <c r="K117" s="247"/>
      <c r="L117" s="815"/>
      <c r="M117" s="816"/>
    </row>
    <row r="118" spans="1:13" ht="17.25" customHeight="1">
      <c r="A118" s="235"/>
      <c r="B118" s="234"/>
      <c r="C118" s="208" t="s">
        <v>473</v>
      </c>
      <c r="D118" s="208"/>
      <c r="E118" s="826" t="s">
        <v>470</v>
      </c>
      <c r="F118" s="826" t="s">
        <v>471</v>
      </c>
      <c r="G118" s="826" t="s">
        <v>472</v>
      </c>
      <c r="H118" s="208"/>
      <c r="I118" s="202"/>
      <c r="J118" s="250"/>
      <c r="K118" s="247"/>
      <c r="L118" s="246"/>
      <c r="M118" s="245"/>
    </row>
    <row r="119" spans="1:13" ht="17.25" customHeight="1">
      <c r="A119" s="235">
        <f>+A109+1</f>
        <v>133</v>
      </c>
      <c r="B119" s="234"/>
      <c r="C119" s="208" t="s">
        <v>145</v>
      </c>
      <c r="D119" s="208" t="s">
        <v>468</v>
      </c>
      <c r="E119" s="823">
        <v>0</v>
      </c>
      <c r="F119" s="1213">
        <v>0</v>
      </c>
      <c r="G119" s="1213">
        <v>0</v>
      </c>
      <c r="H119" s="672">
        <f>+E119+F119+G119</f>
        <v>0</v>
      </c>
      <c r="I119" s="208"/>
      <c r="J119" s="250"/>
      <c r="K119" s="247"/>
      <c r="L119" s="246"/>
      <c r="M119" s="245"/>
    </row>
    <row r="120" spans="1:13" ht="17.25" customHeight="1">
      <c r="A120" s="235">
        <f>+A119+1</f>
        <v>134</v>
      </c>
      <c r="B120" s="234"/>
      <c r="C120" s="246" t="s">
        <v>155</v>
      </c>
      <c r="D120" s="208"/>
      <c r="E120" s="595">
        <v>0</v>
      </c>
      <c r="F120" s="1195">
        <v>0</v>
      </c>
      <c r="G120" s="1195">
        <v>0</v>
      </c>
      <c r="H120" s="672">
        <f t="shared" ref="H120:H131" si="3">+E120+F120+G120</f>
        <v>0</v>
      </c>
      <c r="I120" s="202"/>
      <c r="J120" s="250"/>
      <c r="K120" s="247"/>
      <c r="L120" s="246"/>
      <c r="M120" s="245"/>
    </row>
    <row r="121" spans="1:13" ht="17.25" customHeight="1">
      <c r="A121" s="235">
        <f t="shared" ref="A121:A131" si="4">+A120+1</f>
        <v>135</v>
      </c>
      <c r="B121" s="234"/>
      <c r="C121" s="226" t="s">
        <v>154</v>
      </c>
      <c r="D121" s="208"/>
      <c r="E121" s="595">
        <v>0</v>
      </c>
      <c r="F121" s="1195">
        <v>0</v>
      </c>
      <c r="G121" s="1195">
        <v>0</v>
      </c>
      <c r="H121" s="672">
        <f t="shared" si="3"/>
        <v>0</v>
      </c>
      <c r="I121" s="202"/>
      <c r="J121" s="250"/>
      <c r="K121" s="247"/>
      <c r="L121" s="246"/>
      <c r="M121" s="245"/>
    </row>
    <row r="122" spans="1:13" ht="17.25" customHeight="1">
      <c r="A122" s="235">
        <f t="shared" si="4"/>
        <v>136</v>
      </c>
      <c r="B122" s="234"/>
      <c r="C122" s="226" t="s">
        <v>153</v>
      </c>
      <c r="D122" s="208"/>
      <c r="E122" s="595">
        <v>0</v>
      </c>
      <c r="F122" s="1195">
        <v>0</v>
      </c>
      <c r="G122" s="1195">
        <v>0</v>
      </c>
      <c r="H122" s="672">
        <f t="shared" si="3"/>
        <v>0</v>
      </c>
      <c r="I122" s="202"/>
      <c r="J122" s="250"/>
      <c r="K122" s="247"/>
      <c r="L122" s="246"/>
      <c r="M122" s="245"/>
    </row>
    <row r="123" spans="1:13" ht="17.25" customHeight="1">
      <c r="A123" s="235">
        <f t="shared" si="4"/>
        <v>137</v>
      </c>
      <c r="B123" s="234"/>
      <c r="C123" s="246" t="s">
        <v>133</v>
      </c>
      <c r="D123" s="208"/>
      <c r="E123" s="595">
        <v>0</v>
      </c>
      <c r="F123" s="1195">
        <v>0</v>
      </c>
      <c r="G123" s="1195">
        <v>0</v>
      </c>
      <c r="H123" s="672">
        <f t="shared" si="3"/>
        <v>0</v>
      </c>
      <c r="I123" s="202"/>
      <c r="J123" s="250"/>
      <c r="K123" s="247"/>
      <c r="L123" s="246"/>
      <c r="M123" s="245"/>
    </row>
    <row r="124" spans="1:13" ht="17.25" customHeight="1">
      <c r="A124" s="235">
        <f t="shared" si="4"/>
        <v>138</v>
      </c>
      <c r="B124" s="234"/>
      <c r="C124" s="226" t="s">
        <v>130</v>
      </c>
      <c r="D124" s="208"/>
      <c r="E124" s="595">
        <v>0</v>
      </c>
      <c r="F124" s="1195">
        <v>0</v>
      </c>
      <c r="G124" s="1195">
        <v>0</v>
      </c>
      <c r="H124" s="672">
        <f t="shared" si="3"/>
        <v>0</v>
      </c>
      <c r="I124" s="202"/>
      <c r="J124" s="250"/>
      <c r="K124" s="247"/>
      <c r="L124" s="246"/>
      <c r="M124" s="245"/>
    </row>
    <row r="125" spans="1:13" ht="17.25" customHeight="1">
      <c r="A125" s="235">
        <f t="shared" si="4"/>
        <v>139</v>
      </c>
      <c r="B125" s="234"/>
      <c r="C125" s="226" t="s">
        <v>152</v>
      </c>
      <c r="D125" s="208"/>
      <c r="E125" s="595">
        <v>0</v>
      </c>
      <c r="F125" s="1195">
        <v>0</v>
      </c>
      <c r="G125" s="1195">
        <v>0</v>
      </c>
      <c r="H125" s="672">
        <f t="shared" si="3"/>
        <v>0</v>
      </c>
      <c r="I125" s="202"/>
      <c r="J125" s="250"/>
      <c r="K125" s="247"/>
      <c r="L125" s="246"/>
      <c r="M125" s="245"/>
    </row>
    <row r="126" spans="1:13" ht="17.25" customHeight="1">
      <c r="A126" s="235">
        <f t="shared" si="4"/>
        <v>140</v>
      </c>
      <c r="B126" s="234"/>
      <c r="C126" s="246" t="s">
        <v>151</v>
      </c>
      <c r="D126" s="208"/>
      <c r="E126" s="595">
        <v>0</v>
      </c>
      <c r="F126" s="1195">
        <v>0</v>
      </c>
      <c r="G126" s="1195">
        <v>0</v>
      </c>
      <c r="H126" s="672">
        <f t="shared" si="3"/>
        <v>0</v>
      </c>
      <c r="I126" s="202"/>
      <c r="J126" s="250"/>
      <c r="K126" s="247"/>
      <c r="L126" s="246"/>
      <c r="M126" s="245"/>
    </row>
    <row r="127" spans="1:13" ht="17.25" customHeight="1">
      <c r="A127" s="235">
        <f t="shared" si="4"/>
        <v>141</v>
      </c>
      <c r="B127" s="234"/>
      <c r="C127" s="226" t="s">
        <v>150</v>
      </c>
      <c r="D127" s="208"/>
      <c r="E127" s="595">
        <v>0</v>
      </c>
      <c r="F127" s="1195">
        <v>0</v>
      </c>
      <c r="G127" s="1195">
        <v>0</v>
      </c>
      <c r="H127" s="672">
        <f t="shared" si="3"/>
        <v>0</v>
      </c>
      <c r="I127" s="202"/>
      <c r="J127" s="250"/>
      <c r="K127" s="247"/>
      <c r="L127" s="246"/>
      <c r="M127" s="245"/>
    </row>
    <row r="128" spans="1:13" ht="17.25" customHeight="1">
      <c r="A128" s="235">
        <f t="shared" si="4"/>
        <v>142</v>
      </c>
      <c r="B128" s="234"/>
      <c r="C128" s="226" t="s">
        <v>149</v>
      </c>
      <c r="D128" s="208"/>
      <c r="E128" s="595">
        <v>0</v>
      </c>
      <c r="F128" s="1195">
        <v>0</v>
      </c>
      <c r="G128" s="1195">
        <v>0</v>
      </c>
      <c r="H128" s="672">
        <f t="shared" si="3"/>
        <v>0</v>
      </c>
      <c r="I128" s="202"/>
      <c r="J128" s="250"/>
      <c r="K128" s="247"/>
      <c r="L128" s="246"/>
      <c r="M128" s="245"/>
    </row>
    <row r="129" spans="1:13">
      <c r="A129" s="235">
        <f t="shared" si="4"/>
        <v>143</v>
      </c>
      <c r="B129" s="234"/>
      <c r="C129" s="246" t="s">
        <v>148</v>
      </c>
      <c r="D129" s="208"/>
      <c r="E129" s="595">
        <v>0</v>
      </c>
      <c r="F129" s="1195">
        <v>0</v>
      </c>
      <c r="G129" s="1195">
        <v>0</v>
      </c>
      <c r="H129" s="672">
        <f t="shared" si="3"/>
        <v>0</v>
      </c>
      <c r="I129" s="202"/>
      <c r="J129" s="250"/>
      <c r="K129" s="247"/>
      <c r="L129" s="246"/>
      <c r="M129" s="245"/>
    </row>
    <row r="130" spans="1:13" ht="17.25" customHeight="1">
      <c r="A130" s="235">
        <f t="shared" si="4"/>
        <v>144</v>
      </c>
      <c r="B130" s="234"/>
      <c r="C130" s="246" t="s">
        <v>147</v>
      </c>
      <c r="D130" s="208"/>
      <c r="E130" s="595">
        <v>0</v>
      </c>
      <c r="F130" s="1195">
        <v>0</v>
      </c>
      <c r="G130" s="1195">
        <v>0</v>
      </c>
      <c r="H130" s="672">
        <f t="shared" si="3"/>
        <v>0</v>
      </c>
      <c r="I130" s="202"/>
      <c r="J130" s="250"/>
      <c r="K130" s="247"/>
      <c r="L130" s="246"/>
      <c r="M130" s="245"/>
    </row>
    <row r="131" spans="1:13" ht="17.25" customHeight="1">
      <c r="A131" s="235">
        <f t="shared" si="4"/>
        <v>145</v>
      </c>
      <c r="B131" s="234"/>
      <c r="C131" s="226" t="s">
        <v>145</v>
      </c>
      <c r="D131" s="208" t="s">
        <v>469</v>
      </c>
      <c r="E131" s="595">
        <v>0</v>
      </c>
      <c r="F131" s="1195">
        <v>0</v>
      </c>
      <c r="G131" s="1195">
        <v>0</v>
      </c>
      <c r="H131" s="672">
        <f t="shared" si="3"/>
        <v>0</v>
      </c>
      <c r="I131" s="202"/>
      <c r="J131" s="250"/>
      <c r="K131" s="247"/>
      <c r="L131" s="229"/>
      <c r="M131" s="245"/>
    </row>
    <row r="132" spans="1:13" ht="17.25" customHeight="1">
      <c r="A132" s="235"/>
      <c r="B132" s="234"/>
      <c r="C132" s="226"/>
      <c r="D132" s="208"/>
      <c r="E132" s="597"/>
      <c r="F132" s="196"/>
      <c r="G132" s="196"/>
      <c r="H132" s="672"/>
      <c r="I132" s="202"/>
      <c r="J132" s="250"/>
      <c r="K132" s="247"/>
      <c r="L132" s="229"/>
      <c r="M132" s="245"/>
    </row>
    <row r="133" spans="1:13" ht="16.5" thickBot="1">
      <c r="A133" s="244">
        <f>+A131+1</f>
        <v>146</v>
      </c>
      <c r="B133" s="243"/>
      <c r="C133" s="825" t="s">
        <v>185</v>
      </c>
      <c r="D133" s="205"/>
      <c r="E133" s="1214"/>
      <c r="F133" s="1214"/>
      <c r="G133" s="205"/>
      <c r="H133" s="1215">
        <f>SUM(H119:H131)/13</f>
        <v>0</v>
      </c>
      <c r="I133" s="824"/>
      <c r="J133" s="758"/>
      <c r="K133" s="758"/>
      <c r="L133" s="820"/>
      <c r="M133" s="821"/>
    </row>
    <row r="134" spans="1:13" ht="15.75">
      <c r="A134" s="234"/>
      <c r="B134" s="234"/>
      <c r="C134" s="241"/>
      <c r="D134" s="240"/>
      <c r="E134" s="240"/>
      <c r="F134" s="240"/>
      <c r="G134" s="239"/>
      <c r="H134" s="237"/>
      <c r="I134" s="238"/>
      <c r="J134" s="237"/>
      <c r="K134" s="237"/>
      <c r="L134" s="212"/>
      <c r="M134" s="212"/>
    </row>
    <row r="135" spans="1:13" ht="13.5" thickBot="1">
      <c r="A135" s="220" t="s">
        <v>229</v>
      </c>
      <c r="B135" s="188"/>
      <c r="C135" s="188"/>
      <c r="D135" s="188"/>
      <c r="E135" s="188"/>
      <c r="F135" s="229"/>
      <c r="G135" s="229"/>
      <c r="H135" s="229"/>
      <c r="I135" s="188"/>
      <c r="J135" s="188"/>
      <c r="K135" s="188"/>
      <c r="L135" s="188"/>
      <c r="M135" s="188"/>
    </row>
    <row r="136" spans="1:13">
      <c r="A136" s="259" t="s">
        <v>496</v>
      </c>
      <c r="B136" s="817"/>
      <c r="C136" s="817"/>
      <c r="D136" s="258"/>
      <c r="E136" s="258"/>
      <c r="F136" s="258"/>
      <c r="G136" s="818"/>
      <c r="H136" s="818"/>
      <c r="I136" s="818"/>
      <c r="J136" s="818"/>
      <c r="K136" s="818"/>
      <c r="L136" s="818"/>
      <c r="M136" s="819"/>
    </row>
    <row r="137" spans="1:13">
      <c r="A137" s="187"/>
      <c r="B137" s="257"/>
      <c r="C137" s="256"/>
      <c r="D137" s="229"/>
      <c r="E137" s="718" t="s">
        <v>1084</v>
      </c>
      <c r="F137" s="718" t="s">
        <v>392</v>
      </c>
      <c r="G137" s="718" t="s">
        <v>392</v>
      </c>
      <c r="H137" s="254" t="s">
        <v>20</v>
      </c>
      <c r="I137" s="253"/>
      <c r="J137" s="232"/>
      <c r="K137" s="252"/>
      <c r="L137" s="232"/>
      <c r="M137" s="251"/>
    </row>
    <row r="138" spans="1:13">
      <c r="A138" s="231">
        <f>+A133+1</f>
        <v>147</v>
      </c>
      <c r="B138" s="229"/>
      <c r="C138" s="229" t="s">
        <v>231</v>
      </c>
      <c r="D138" s="229" t="s">
        <v>993</v>
      </c>
      <c r="E138" s="673">
        <v>1974684</v>
      </c>
      <c r="F138" s="428">
        <v>0</v>
      </c>
      <c r="G138" s="428">
        <v>0</v>
      </c>
      <c r="H138" s="227">
        <f>SUM(E138:G138)</f>
        <v>1974684</v>
      </c>
      <c r="I138" s="1200" t="s">
        <v>1006</v>
      </c>
      <c r="J138" s="1201"/>
      <c r="K138" s="352"/>
      <c r="L138" s="1202"/>
      <c r="M138" s="1203"/>
    </row>
    <row r="139" spans="1:13">
      <c r="A139" s="235">
        <f>+A138+1</f>
        <v>148</v>
      </c>
      <c r="B139" s="234"/>
      <c r="C139" s="229" t="s">
        <v>292</v>
      </c>
      <c r="D139" s="232" t="str">
        <f>+D138</f>
        <v>Attachment 11</v>
      </c>
      <c r="E139" s="428">
        <v>47.986294744155259</v>
      </c>
      <c r="F139" s="428">
        <v>0</v>
      </c>
      <c r="G139" s="428">
        <v>0</v>
      </c>
      <c r="H139" s="227"/>
      <c r="I139" s="1200" t="str">
        <f>+I138</f>
        <v>Pursuant to Attachment 11</v>
      </c>
      <c r="J139" s="1204"/>
      <c r="K139" s="352"/>
      <c r="L139" s="1205"/>
      <c r="M139" s="1206"/>
    </row>
    <row r="140" spans="1:13" ht="40.5" customHeight="1">
      <c r="A140" s="235">
        <f>+A139+1</f>
        <v>149</v>
      </c>
      <c r="B140" s="234"/>
      <c r="C140" s="232" t="s">
        <v>296</v>
      </c>
      <c r="D140" s="229" t="str">
        <f>"(line "&amp;A138&amp;" / line "&amp;A139&amp;")"</f>
        <v>(line 147 / line 148)</v>
      </c>
      <c r="E140" s="665">
        <f>IF(E139=0,0,E138/E139)</f>
        <v>41150.999687062045</v>
      </c>
      <c r="F140" s="665">
        <f>IF(F139=0,0,F138/F139)</f>
        <v>0</v>
      </c>
      <c r="G140" s="665">
        <f>IF(G139=0,0,G138/G139)</f>
        <v>0</v>
      </c>
      <c r="H140" s="227">
        <f>SUM(E140:G140)</f>
        <v>41150.999687062045</v>
      </c>
      <c r="I140" s="1666" t="s">
        <v>994</v>
      </c>
      <c r="J140" s="1666"/>
      <c r="K140" s="1666"/>
      <c r="L140" s="1666"/>
      <c r="M140" s="1667"/>
    </row>
    <row r="141" spans="1:13">
      <c r="A141" s="235">
        <f>+A140+1</f>
        <v>150</v>
      </c>
      <c r="B141" s="234"/>
      <c r="C141" s="229" t="s">
        <v>230</v>
      </c>
      <c r="D141" s="232" t="str">
        <f>+D139</f>
        <v>Attachment 11</v>
      </c>
      <c r="E141" s="428">
        <v>11.985881357703029</v>
      </c>
      <c r="F141" s="428">
        <v>0</v>
      </c>
      <c r="G141" s="428">
        <v>0</v>
      </c>
      <c r="H141" s="208"/>
      <c r="I141" s="1200" t="str">
        <f>+I139</f>
        <v>Pursuant to Attachment 11</v>
      </c>
      <c r="J141" s="1204"/>
      <c r="K141" s="352"/>
      <c r="L141" s="1205"/>
      <c r="M141" s="1206"/>
    </row>
    <row r="142" spans="1:13">
      <c r="A142" s="235">
        <f>+A141+1</f>
        <v>151</v>
      </c>
      <c r="B142" s="234"/>
      <c r="C142" s="229" t="s">
        <v>232</v>
      </c>
      <c r="D142" s="229" t="str">
        <f>"(line "&amp;A138&amp;" - line "&amp;A140&amp;" * "&amp;A141&amp;")"</f>
        <v>(line 147 - line 149 * 150)</v>
      </c>
      <c r="E142" s="665">
        <f>+E138-E140*E141</f>
        <v>1481452.9999999998</v>
      </c>
      <c r="F142" s="665">
        <f>+F138-F140*F141</f>
        <v>0</v>
      </c>
      <c r="G142" s="665">
        <f>+G138-G140*G141</f>
        <v>0</v>
      </c>
      <c r="H142" s="248"/>
      <c r="I142" s="1207" t="s">
        <v>452</v>
      </c>
      <c r="J142" s="1204"/>
      <c r="K142" s="1207"/>
      <c r="L142" s="1205"/>
      <c r="M142" s="1206"/>
    </row>
    <row r="143" spans="1:13">
      <c r="A143" s="235">
        <f>+A142+1</f>
        <v>152</v>
      </c>
      <c r="B143" s="234"/>
      <c r="C143" s="229" t="s">
        <v>234</v>
      </c>
      <c r="D143" s="229" t="str">
        <f>"(line "&amp;A138&amp;" + line "&amp;A142&amp;")/2"</f>
        <v>(line 147 + line 151)/2</v>
      </c>
      <c r="E143" s="665">
        <f>+E138/2+E142/2</f>
        <v>1728068.5</v>
      </c>
      <c r="F143" s="665">
        <f>+F138/2+F142/2</f>
        <v>0</v>
      </c>
      <c r="G143" s="665">
        <f>+G138/2+G142/2</f>
        <v>0</v>
      </c>
      <c r="H143" s="227">
        <f>SUM(E143:G143)</f>
        <v>1728068.5</v>
      </c>
      <c r="I143" s="1208" t="s">
        <v>457</v>
      </c>
      <c r="J143" s="1201" t="s">
        <v>458</v>
      </c>
      <c r="K143" s="1207"/>
      <c r="L143" s="1209"/>
      <c r="M143" s="1206"/>
    </row>
    <row r="144" spans="1:13" ht="15.75">
      <c r="A144" s="235"/>
      <c r="B144" s="234"/>
      <c r="C144" s="249"/>
      <c r="D144" s="229"/>
      <c r="E144" s="165"/>
      <c r="F144" s="165"/>
      <c r="G144" s="165"/>
      <c r="H144" s="248"/>
      <c r="I144" s="827" t="s">
        <v>1088</v>
      </c>
      <c r="J144" s="828" t="s">
        <v>1089</v>
      </c>
      <c r="K144" s="754"/>
      <c r="L144" s="759"/>
      <c r="M144" s="755"/>
    </row>
    <row r="145" spans="1:13" ht="15.75" customHeight="1">
      <c r="A145" s="452"/>
      <c r="B145" s="208"/>
      <c r="C145" s="208" t="s">
        <v>1007</v>
      </c>
      <c r="D145" s="208"/>
      <c r="E145" s="208"/>
      <c r="F145" s="208"/>
      <c r="G145" s="208"/>
      <c r="H145" s="208"/>
      <c r="I145" s="829"/>
      <c r="J145" s="829"/>
      <c r="K145" s="718"/>
      <c r="L145" s="718"/>
      <c r="M145" s="760"/>
    </row>
    <row r="146" spans="1:13" ht="16.5" thickBot="1">
      <c r="A146" s="244"/>
      <c r="B146" s="243"/>
      <c r="C146" s="756"/>
      <c r="D146" s="262"/>
      <c r="E146" s="262"/>
      <c r="F146" s="262"/>
      <c r="G146" s="757"/>
      <c r="H146" s="758"/>
      <c r="I146" s="830"/>
      <c r="J146" s="831"/>
      <c r="K146" s="761"/>
      <c r="L146" s="762"/>
      <c r="M146" s="763"/>
    </row>
    <row r="147" spans="1:13" ht="15.75">
      <c r="C147" s="192"/>
      <c r="D147" s="192"/>
      <c r="E147" s="192"/>
      <c r="F147" s="192"/>
      <c r="G147" s="192"/>
    </row>
    <row r="148" spans="1:13" ht="16.5" thickBot="1">
      <c r="A148" s="587" t="s">
        <v>184</v>
      </c>
      <c r="B148" s="192"/>
      <c r="C148" s="192"/>
      <c r="D148" s="192"/>
      <c r="E148" s="192"/>
      <c r="F148" s="192"/>
      <c r="G148" s="192"/>
      <c r="H148" s="192"/>
      <c r="I148" s="192"/>
      <c r="J148" s="192"/>
      <c r="K148" s="192"/>
      <c r="L148" s="192"/>
      <c r="M148" s="192"/>
    </row>
    <row r="149" spans="1:13" ht="15.75">
      <c r="A149" s="1661" t="s">
        <v>496</v>
      </c>
      <c r="B149" s="1662"/>
      <c r="C149" s="1662"/>
      <c r="D149" s="1662"/>
      <c r="E149" s="1662"/>
      <c r="F149" s="1662"/>
      <c r="G149" s="875"/>
      <c r="H149" s="875"/>
      <c r="I149" s="875"/>
      <c r="J149" s="1658" t="s">
        <v>109</v>
      </c>
      <c r="K149" s="1659"/>
      <c r="L149" s="1659"/>
      <c r="M149" s="1660"/>
    </row>
    <row r="150" spans="1:13" ht="15.75">
      <c r="A150" s="209">
        <f>+A143+1</f>
        <v>153</v>
      </c>
      <c r="B150" s="211"/>
      <c r="C150" s="217" t="s">
        <v>246</v>
      </c>
      <c r="D150" s="213"/>
      <c r="E150" s="210"/>
      <c r="F150" s="1210"/>
      <c r="G150" s="588"/>
      <c r="H150" s="263"/>
      <c r="I150" s="263"/>
      <c r="J150" s="589"/>
      <c r="K150" s="589"/>
      <c r="L150" s="589"/>
      <c r="M150" s="590"/>
    </row>
    <row r="151" spans="1:13" ht="15.75">
      <c r="A151" s="209"/>
      <c r="B151" s="211"/>
      <c r="C151" s="217"/>
      <c r="D151" s="213"/>
      <c r="E151" s="210"/>
      <c r="F151" s="1210"/>
      <c r="G151" s="588"/>
      <c r="H151" s="263"/>
      <c r="I151" s="263"/>
      <c r="J151" s="589"/>
      <c r="K151" s="589"/>
      <c r="L151" s="589"/>
      <c r="M151" s="590"/>
    </row>
    <row r="152" spans="1:13" ht="15.75">
      <c r="A152" s="209"/>
      <c r="B152" s="210"/>
      <c r="C152" s="208"/>
      <c r="D152" s="208"/>
      <c r="E152" s="208"/>
      <c r="F152" s="1211"/>
      <c r="G152" s="240"/>
      <c r="H152" s="240"/>
      <c r="I152" s="240"/>
      <c r="J152" s="240"/>
      <c r="K152" s="240"/>
      <c r="L152" s="240"/>
      <c r="M152" s="591"/>
    </row>
    <row r="153" spans="1:13" ht="15.75">
      <c r="A153" s="209">
        <f>A150+1</f>
        <v>154</v>
      </c>
      <c r="B153" s="210"/>
      <c r="C153" s="1216" t="s">
        <v>491</v>
      </c>
      <c r="D153" s="253"/>
      <c r="E153" s="1217"/>
      <c r="F153" s="1211"/>
      <c r="G153" s="240"/>
      <c r="H153" s="240"/>
      <c r="I153" s="240"/>
      <c r="J153" s="240"/>
      <c r="K153" s="240"/>
      <c r="L153" s="240"/>
      <c r="M153" s="591"/>
    </row>
    <row r="154" spans="1:13" ht="15.75">
      <c r="A154" s="209">
        <f t="shared" ref="A154:A161" si="5">+A153+1</f>
        <v>155</v>
      </c>
      <c r="B154" s="210"/>
      <c r="C154" s="664" t="s">
        <v>247</v>
      </c>
      <c r="D154" s="1218"/>
      <c r="E154" s="1219">
        <v>-706747</v>
      </c>
      <c r="F154" s="1211"/>
      <c r="G154" s="240"/>
      <c r="H154" s="240"/>
      <c r="I154" s="240"/>
      <c r="J154" s="240"/>
      <c r="K154" s="240"/>
      <c r="L154" s="240"/>
      <c r="M154" s="591"/>
    </row>
    <row r="155" spans="1:13" ht="15.75">
      <c r="A155" s="209">
        <f t="shared" si="5"/>
        <v>156</v>
      </c>
      <c r="B155" s="210"/>
      <c r="C155" s="664" t="s">
        <v>248</v>
      </c>
      <c r="D155" s="1218"/>
      <c r="E155" s="1220">
        <v>296833483</v>
      </c>
      <c r="F155" s="1211"/>
      <c r="G155" s="240"/>
      <c r="H155" s="240"/>
      <c r="I155" s="240"/>
      <c r="J155" s="240"/>
      <c r="K155" s="240"/>
      <c r="L155" s="240"/>
      <c r="M155" s="591"/>
    </row>
    <row r="156" spans="1:13" ht="15.75">
      <c r="A156" s="209">
        <f t="shared" si="5"/>
        <v>157</v>
      </c>
      <c r="B156" s="210"/>
      <c r="C156" s="664" t="s">
        <v>249</v>
      </c>
      <c r="D156" s="1218"/>
      <c r="E156" s="1221">
        <f>+E154/E155</f>
        <v>-2.3809544423935491E-3</v>
      </c>
      <c r="F156" s="1211"/>
      <c r="G156" s="240"/>
      <c r="H156" s="240"/>
      <c r="I156" s="240"/>
      <c r="J156" s="240"/>
      <c r="K156" s="240"/>
      <c r="L156" s="240"/>
      <c r="M156" s="591"/>
    </row>
    <row r="157" spans="1:13" ht="15.75">
      <c r="A157" s="209">
        <f t="shared" si="5"/>
        <v>158</v>
      </c>
      <c r="B157" s="210"/>
      <c r="C157" s="664" t="s">
        <v>287</v>
      </c>
      <c r="D157" s="1218"/>
      <c r="E157" s="1222">
        <v>8008</v>
      </c>
      <c r="F157" s="1504"/>
      <c r="G157" s="240"/>
      <c r="H157" s="240"/>
      <c r="I157" s="240"/>
      <c r="J157" s="240"/>
      <c r="K157" s="240"/>
      <c r="L157" s="240"/>
      <c r="M157" s="591"/>
    </row>
    <row r="158" spans="1:13" ht="15.75">
      <c r="A158" s="209">
        <f t="shared" si="5"/>
        <v>159</v>
      </c>
      <c r="B158" s="210"/>
      <c r="C158" s="664" t="s">
        <v>288</v>
      </c>
      <c r="D158" s="1218"/>
      <c r="E158" s="1223">
        <f>+E156*E157</f>
        <v>-19.06668317468754</v>
      </c>
      <c r="F158" s="1211"/>
      <c r="G158" s="240"/>
      <c r="H158" s="240"/>
      <c r="I158" s="240"/>
      <c r="J158" s="240"/>
      <c r="K158" s="240"/>
      <c r="L158" s="240"/>
      <c r="M158" s="591"/>
    </row>
    <row r="159" spans="1:13" ht="15.75">
      <c r="A159" s="209">
        <f t="shared" si="5"/>
        <v>160</v>
      </c>
      <c r="B159" s="210"/>
      <c r="C159" s="664" t="s">
        <v>525</v>
      </c>
      <c r="D159" s="1218"/>
      <c r="E159" s="1222">
        <v>43</v>
      </c>
      <c r="F159" s="1211"/>
      <c r="G159" s="240"/>
      <c r="H159" s="240"/>
      <c r="I159" s="240"/>
      <c r="J159" s="240"/>
      <c r="K159" s="240"/>
      <c r="L159" s="240"/>
      <c r="M159" s="591"/>
    </row>
    <row r="160" spans="1:13" ht="15.75">
      <c r="A160" s="209">
        <f t="shared" si="5"/>
        <v>161</v>
      </c>
      <c r="B160" s="210"/>
      <c r="C160" s="664" t="s">
        <v>1074</v>
      </c>
      <c r="D160" s="1224" t="s">
        <v>7</v>
      </c>
      <c r="E160" s="1223">
        <f>+E158-E159</f>
        <v>-62.06668317468754</v>
      </c>
      <c r="F160" s="1211"/>
      <c r="G160" s="240"/>
      <c r="H160" s="240"/>
      <c r="I160" s="240"/>
      <c r="J160" s="240"/>
      <c r="K160" s="240"/>
      <c r="L160" s="240"/>
      <c r="M160" s="591"/>
    </row>
    <row r="161" spans="1:13" ht="15.75">
      <c r="A161" s="209">
        <f t="shared" si="5"/>
        <v>162</v>
      </c>
      <c r="B161" s="210"/>
      <c r="C161" s="664" t="str">
        <f>"Lines "&amp;A154&amp;"-"&amp;A156&amp;" cannot change absent approval or acceptance by FERC in a separate proceeding. "</f>
        <v xml:space="preserve">Lines 155-157 cannot change absent approval or acceptance by FERC in a separate proceeding. </v>
      </c>
      <c r="D161" s="1218"/>
      <c r="E161" s="1218"/>
      <c r="F161" s="1211"/>
      <c r="G161" s="240"/>
      <c r="H161" s="240"/>
      <c r="I161" s="240"/>
      <c r="J161" s="240"/>
      <c r="K161" s="240"/>
      <c r="L161" s="240"/>
      <c r="M161" s="591"/>
    </row>
    <row r="162" spans="1:13" ht="15.75">
      <c r="A162" s="209"/>
      <c r="B162" s="210"/>
      <c r="C162" s="664"/>
      <c r="D162" s="1218"/>
      <c r="E162" s="1218"/>
      <c r="F162" s="1211"/>
      <c r="G162" s="240"/>
      <c r="H162" s="240"/>
      <c r="I162" s="240"/>
      <c r="J162" s="240"/>
      <c r="K162" s="240"/>
      <c r="L162" s="240"/>
      <c r="M162" s="591"/>
    </row>
    <row r="163" spans="1:13" ht="15.75">
      <c r="A163" s="209">
        <f>+A160+1</f>
        <v>162</v>
      </c>
      <c r="B163" s="208"/>
      <c r="C163" s="1216" t="s">
        <v>995</v>
      </c>
      <c r="D163" s="253"/>
      <c r="E163" s="229"/>
      <c r="F163" s="1212"/>
      <c r="G163" s="240"/>
      <c r="H163" s="240"/>
      <c r="I163" s="240"/>
      <c r="J163" s="240"/>
      <c r="K163" s="240"/>
      <c r="L163" s="240"/>
      <c r="M163" s="591"/>
    </row>
    <row r="164" spans="1:13" ht="15.75">
      <c r="A164" s="209">
        <f t="shared" ref="A164:A171" si="6">+A163+1</f>
        <v>163</v>
      </c>
      <c r="B164" s="211"/>
      <c r="C164" s="664" t="s">
        <v>247</v>
      </c>
      <c r="D164" s="1218"/>
      <c r="E164" s="1219">
        <v>9027</v>
      </c>
      <c r="F164" s="1211"/>
      <c r="G164" s="240"/>
      <c r="H164" s="240"/>
      <c r="I164" s="240"/>
      <c r="J164" s="240"/>
      <c r="K164" s="240"/>
      <c r="L164" s="240"/>
      <c r="M164" s="591"/>
    </row>
    <row r="165" spans="1:13" ht="15.75">
      <c r="A165" s="209">
        <f t="shared" si="6"/>
        <v>164</v>
      </c>
      <c r="B165" s="210"/>
      <c r="C165" s="1218" t="s">
        <v>248</v>
      </c>
      <c r="D165" s="1218"/>
      <c r="E165" s="1220">
        <v>21957323</v>
      </c>
      <c r="F165" s="1211"/>
      <c r="G165" s="240"/>
      <c r="H165" s="240"/>
      <c r="I165" s="240"/>
      <c r="J165" s="240"/>
      <c r="K165" s="240"/>
      <c r="L165" s="240"/>
      <c r="M165" s="591"/>
    </row>
    <row r="166" spans="1:13" ht="15.75">
      <c r="A166" s="209">
        <f t="shared" si="6"/>
        <v>165</v>
      </c>
      <c r="B166" s="210"/>
      <c r="C166" s="1218" t="s">
        <v>249</v>
      </c>
      <c r="D166" s="1218"/>
      <c r="E166" s="1221">
        <f>+E164/E165</f>
        <v>4.1111569019593142E-4</v>
      </c>
      <c r="F166" s="1211"/>
      <c r="G166" s="240"/>
      <c r="H166" s="240"/>
      <c r="I166" s="240"/>
      <c r="J166" s="240"/>
      <c r="K166" s="240"/>
      <c r="L166" s="240"/>
      <c r="M166" s="591"/>
    </row>
    <row r="167" spans="1:13" ht="15.75">
      <c r="A167" s="209">
        <f t="shared" si="6"/>
        <v>166</v>
      </c>
      <c r="B167" s="210"/>
      <c r="C167" s="1218" t="s">
        <v>287</v>
      </c>
      <c r="D167" s="1218"/>
      <c r="E167" s="1222">
        <v>58838</v>
      </c>
      <c r="F167" s="1504"/>
      <c r="G167" s="240"/>
      <c r="H167" s="240"/>
      <c r="I167" s="240"/>
      <c r="J167" s="240"/>
      <c r="K167" s="240"/>
      <c r="L167" s="240"/>
      <c r="M167" s="591"/>
    </row>
    <row r="168" spans="1:13" ht="15.75">
      <c r="A168" s="209">
        <f t="shared" si="6"/>
        <v>167</v>
      </c>
      <c r="B168" s="210"/>
      <c r="C168" s="1218" t="s">
        <v>288</v>
      </c>
      <c r="D168" s="1218"/>
      <c r="E168" s="1223">
        <f>+E166*E167</f>
        <v>24.189224979748214</v>
      </c>
      <c r="F168" s="1211"/>
      <c r="G168" s="240"/>
      <c r="H168" s="240"/>
      <c r="I168" s="240"/>
      <c r="J168" s="240"/>
      <c r="K168" s="240"/>
      <c r="L168" s="240"/>
      <c r="M168" s="591"/>
    </row>
    <row r="169" spans="1:13" ht="15.75">
      <c r="A169" s="209">
        <f t="shared" si="6"/>
        <v>168</v>
      </c>
      <c r="B169" s="210"/>
      <c r="C169" s="664" t="s">
        <v>525</v>
      </c>
      <c r="D169" s="1218"/>
      <c r="E169" s="1222">
        <v>19</v>
      </c>
      <c r="F169" s="1211"/>
      <c r="G169" s="240"/>
      <c r="H169" s="240"/>
      <c r="I169" s="240"/>
      <c r="J169" s="240"/>
      <c r="K169" s="240"/>
      <c r="L169" s="240"/>
      <c r="M169" s="591"/>
    </row>
    <row r="170" spans="1:13" ht="15.75">
      <c r="A170" s="209">
        <f t="shared" si="6"/>
        <v>169</v>
      </c>
      <c r="B170" s="210"/>
      <c r="C170" s="664" t="s">
        <v>1074</v>
      </c>
      <c r="D170" s="1224" t="s">
        <v>7</v>
      </c>
      <c r="E170" s="1223">
        <f>+E168-E169</f>
        <v>5.1892249797482144</v>
      </c>
      <c r="F170" s="1211"/>
      <c r="G170" s="240"/>
      <c r="H170" s="240"/>
      <c r="I170" s="240"/>
      <c r="J170" s="240"/>
      <c r="K170" s="240"/>
      <c r="L170" s="240"/>
      <c r="M170" s="591"/>
    </row>
    <row r="171" spans="1:13" ht="15.75">
      <c r="A171" s="209">
        <f t="shared" si="6"/>
        <v>170</v>
      </c>
      <c r="B171" s="210"/>
      <c r="C171" s="1218" t="str">
        <f>"Lines "&amp;A164&amp;"-"&amp;A166&amp;" cannot change absent approval or acceptance by FERC in a separate proceeding. "</f>
        <v xml:space="preserve">Lines 163-165 cannot change absent approval or acceptance by FERC in a separate proceeding. </v>
      </c>
      <c r="D171" s="1218"/>
      <c r="E171" s="1218"/>
      <c r="F171" s="1211"/>
      <c r="G171" s="240"/>
      <c r="H171" s="240"/>
      <c r="I171" s="240"/>
      <c r="J171" s="240"/>
      <c r="K171" s="240"/>
      <c r="L171" s="240"/>
      <c r="M171" s="591"/>
    </row>
    <row r="172" spans="1:13" ht="15.75">
      <c r="A172" s="209"/>
      <c r="B172" s="208"/>
      <c r="C172" s="208"/>
      <c r="D172" s="208"/>
      <c r="E172" s="208"/>
      <c r="F172" s="1211"/>
      <c r="G172" s="240"/>
      <c r="H172" s="240"/>
      <c r="I172" s="240"/>
      <c r="J172" s="240"/>
      <c r="K172" s="240"/>
      <c r="L172" s="240"/>
      <c r="M172" s="591"/>
    </row>
    <row r="173" spans="1:13" ht="15.75">
      <c r="A173" s="209">
        <f>+A171+1</f>
        <v>171</v>
      </c>
      <c r="B173" s="208"/>
      <c r="C173" s="1216" t="s">
        <v>498</v>
      </c>
      <c r="D173" s="253"/>
      <c r="E173" s="229"/>
      <c r="F173" s="1212"/>
      <c r="G173" s="240"/>
      <c r="H173" s="240"/>
      <c r="I173" s="240"/>
      <c r="J173" s="240"/>
      <c r="K173" s="240"/>
      <c r="L173" s="240"/>
      <c r="M173" s="591"/>
    </row>
    <row r="174" spans="1:13" ht="15.75">
      <c r="A174" s="209">
        <f t="shared" ref="A174:A181" si="7">+A173+1</f>
        <v>172</v>
      </c>
      <c r="B174" s="211"/>
      <c r="C174" s="664" t="s">
        <v>247</v>
      </c>
      <c r="D174" s="1218"/>
      <c r="E174" s="1219">
        <v>112598</v>
      </c>
      <c r="F174" s="1211"/>
      <c r="G174" s="240"/>
      <c r="H174" s="240"/>
      <c r="I174" s="240"/>
      <c r="J174" s="240"/>
      <c r="K174" s="240"/>
      <c r="L174" s="240"/>
      <c r="M174" s="591"/>
    </row>
    <row r="175" spans="1:13" ht="15.75">
      <c r="A175" s="209">
        <f t="shared" si="7"/>
        <v>173</v>
      </c>
      <c r="B175" s="210"/>
      <c r="C175" s="1218" t="s">
        <v>248</v>
      </c>
      <c r="D175" s="1218"/>
      <c r="E175" s="1220">
        <v>510661263</v>
      </c>
      <c r="F175" s="1211"/>
      <c r="G175" s="240"/>
      <c r="H175" s="240"/>
      <c r="I175" s="240"/>
      <c r="J175" s="240"/>
      <c r="K175" s="240"/>
      <c r="L175" s="240"/>
      <c r="M175" s="591"/>
    </row>
    <row r="176" spans="1:13" ht="15.75">
      <c r="A176" s="209">
        <f t="shared" si="7"/>
        <v>174</v>
      </c>
      <c r="B176" s="210"/>
      <c r="C176" s="1218" t="s">
        <v>249</v>
      </c>
      <c r="D176" s="1218"/>
      <c r="E176" s="1221">
        <f>+E174/E175</f>
        <v>2.2049450028481993E-4</v>
      </c>
      <c r="F176" s="1211"/>
      <c r="G176" s="240"/>
      <c r="H176" s="240"/>
      <c r="I176" s="240"/>
      <c r="J176" s="240"/>
      <c r="K176" s="240"/>
      <c r="L176" s="240"/>
      <c r="M176" s="591"/>
    </row>
    <row r="177" spans="1:13" ht="15.75">
      <c r="A177" s="209">
        <f t="shared" si="7"/>
        <v>175</v>
      </c>
      <c r="B177" s="210"/>
      <c r="C177" s="1218" t="s">
        <v>287</v>
      </c>
      <c r="D177" s="1218"/>
      <c r="E177" s="1222">
        <v>0</v>
      </c>
      <c r="F177" s="1211"/>
      <c r="G177" s="240"/>
      <c r="H177" s="240"/>
      <c r="I177" s="240"/>
      <c r="J177" s="240"/>
      <c r="K177" s="240"/>
      <c r="L177" s="240"/>
      <c r="M177" s="591"/>
    </row>
    <row r="178" spans="1:13" ht="15.75">
      <c r="A178" s="209">
        <f t="shared" si="7"/>
        <v>176</v>
      </c>
      <c r="B178" s="210"/>
      <c r="C178" s="1218" t="s">
        <v>288</v>
      </c>
      <c r="D178" s="1218"/>
      <c r="E178" s="1223">
        <f>+E176*E177</f>
        <v>0</v>
      </c>
      <c r="F178" s="1211"/>
      <c r="G178" s="240"/>
      <c r="H178" s="240"/>
      <c r="I178" s="240"/>
      <c r="J178" s="240"/>
      <c r="K178" s="240"/>
      <c r="L178" s="240"/>
      <c r="M178" s="591"/>
    </row>
    <row r="179" spans="1:13" ht="15.75">
      <c r="A179" s="209">
        <f t="shared" si="7"/>
        <v>177</v>
      </c>
      <c r="B179" s="210"/>
      <c r="C179" s="664" t="s">
        <v>525</v>
      </c>
      <c r="D179" s="1218"/>
      <c r="E179" s="1222">
        <v>0</v>
      </c>
      <c r="F179" s="1211"/>
      <c r="G179" s="240"/>
      <c r="H179" s="240"/>
      <c r="I179" s="240"/>
      <c r="J179" s="240"/>
      <c r="K179" s="240"/>
      <c r="L179" s="240"/>
      <c r="M179" s="591"/>
    </row>
    <row r="180" spans="1:13" ht="15.75">
      <c r="A180" s="209">
        <f t="shared" si="7"/>
        <v>178</v>
      </c>
      <c r="B180" s="210"/>
      <c r="C180" s="664" t="s">
        <v>1074</v>
      </c>
      <c r="D180" s="1224" t="s">
        <v>7</v>
      </c>
      <c r="E180" s="1223">
        <f>+E178-E179</f>
        <v>0</v>
      </c>
      <c r="F180" s="1211"/>
      <c r="G180" s="240"/>
      <c r="H180" s="240"/>
      <c r="I180" s="240"/>
      <c r="J180" s="240"/>
      <c r="K180" s="240"/>
      <c r="L180" s="240"/>
      <c r="M180" s="591"/>
    </row>
    <row r="181" spans="1:13" ht="15.75">
      <c r="A181" s="209">
        <f t="shared" si="7"/>
        <v>179</v>
      </c>
      <c r="B181" s="210"/>
      <c r="C181" s="1218" t="str">
        <f>"Lines "&amp;A174&amp;"-"&amp;A176&amp;" cannot change absent approval or acceptance by FERC in a separate proceeding. "</f>
        <v xml:space="preserve">Lines 172-174 cannot change absent approval or acceptance by FERC in a separate proceeding. </v>
      </c>
      <c r="D181" s="1218"/>
      <c r="E181" s="1218"/>
      <c r="F181" s="1211"/>
      <c r="G181" s="240"/>
      <c r="H181" s="240"/>
      <c r="I181" s="240"/>
      <c r="J181" s="240"/>
      <c r="K181" s="240"/>
      <c r="L181" s="240"/>
      <c r="M181" s="591"/>
    </row>
    <row r="182" spans="1:13" ht="15.75">
      <c r="A182" s="209"/>
      <c r="B182" s="208"/>
      <c r="C182" s="208"/>
      <c r="D182" s="208"/>
      <c r="E182" s="208"/>
      <c r="F182" s="1211"/>
      <c r="G182" s="240"/>
      <c r="H182" s="240"/>
      <c r="I182" s="240"/>
      <c r="J182" s="240"/>
      <c r="K182" s="240"/>
      <c r="L182" s="240"/>
      <c r="M182" s="591"/>
    </row>
    <row r="183" spans="1:13" ht="15.75">
      <c r="A183" s="209">
        <f>+A181+1</f>
        <v>180</v>
      </c>
      <c r="B183" s="208"/>
      <c r="C183" s="208" t="str">
        <f>+'Appendix III'!C123</f>
        <v xml:space="preserve">     PBOP expense adjustment</v>
      </c>
      <c r="D183" s="208" t="str">
        <f>"(sum lines "&amp;A160&amp;", "&amp;A170&amp;", &amp; "&amp;A180&amp;")"</f>
        <v>(sum lines 161, 169, &amp; 178)</v>
      </c>
      <c r="E183" s="1225">
        <f>+E170+E160+E180</f>
        <v>-56.877458194939322</v>
      </c>
      <c r="F183" s="1211"/>
      <c r="G183" s="240"/>
      <c r="H183" s="240"/>
      <c r="I183" s="240"/>
      <c r="J183" s="240"/>
      <c r="K183" s="240"/>
      <c r="L183" s="240"/>
      <c r="M183" s="591"/>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8"/>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A3:F3"/>
    <mergeCell ref="J3:M3"/>
    <mergeCell ref="J48:M48"/>
    <mergeCell ref="A50:F50"/>
    <mergeCell ref="J50:M50"/>
    <mergeCell ref="J53:M53"/>
    <mergeCell ref="A57:F57"/>
    <mergeCell ref="J57:M57"/>
    <mergeCell ref="J58:M58"/>
    <mergeCell ref="A73:F73"/>
    <mergeCell ref="J73:M73"/>
    <mergeCell ref="J74:M74"/>
    <mergeCell ref="A86:F86"/>
    <mergeCell ref="J86:M86"/>
    <mergeCell ref="J91:M91"/>
    <mergeCell ref="A95:F95"/>
    <mergeCell ref="L95:M95"/>
    <mergeCell ref="J149:M149"/>
    <mergeCell ref="A149:F149"/>
    <mergeCell ref="H109:M109"/>
    <mergeCell ref="I140:M140"/>
    <mergeCell ref="A102:F102"/>
    <mergeCell ref="J102:M102"/>
    <mergeCell ref="J104:M104"/>
    <mergeCell ref="A107:F107"/>
    <mergeCell ref="H107:M107"/>
  </mergeCells>
  <printOptions horizontalCentered="1"/>
  <pageMargins left="0.25" right="0.25" top="0.75" bottom="0.75" header="0.5" footer="0.5"/>
  <pageSetup scale="62"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3:R46"/>
  <sheetViews>
    <sheetView view="pageBreakPreview" zoomScale="60" zoomScaleNormal="70" workbookViewId="0">
      <selection activeCell="E33" sqref="E33"/>
    </sheetView>
  </sheetViews>
  <sheetFormatPr defaultRowHeight="15"/>
  <cols>
    <col min="1" max="1" width="6.33203125" style="1117" customWidth="1"/>
    <col min="2" max="2" width="47.33203125" customWidth="1"/>
    <col min="3" max="3" width="22.44140625" customWidth="1"/>
    <col min="4" max="17" width="11.5546875" style="678" customWidth="1"/>
    <col min="18" max="18" width="8.88671875" style="678"/>
  </cols>
  <sheetData>
    <row r="3" spans="1:18" s="199" customFormat="1" ht="12.75">
      <c r="A3" s="1120" t="s">
        <v>224</v>
      </c>
      <c r="D3" s="725"/>
      <c r="E3" s="725"/>
      <c r="F3" s="725"/>
      <c r="G3" s="725"/>
      <c r="H3" s="725"/>
      <c r="I3" s="725"/>
      <c r="J3" s="725"/>
      <c r="K3" s="725"/>
      <c r="L3" s="725"/>
      <c r="M3" s="725"/>
      <c r="N3" s="725"/>
      <c r="O3" s="725"/>
      <c r="P3" s="725"/>
      <c r="Q3" s="725"/>
      <c r="R3" s="725"/>
    </row>
    <row r="4" spans="1:18" s="199" customFormat="1" ht="13.5" thickBot="1">
      <c r="A4" s="1692" t="s">
        <v>496</v>
      </c>
      <c r="B4" s="1692"/>
      <c r="C4" s="1692"/>
      <c r="D4" s="1692"/>
      <c r="E4" s="1692"/>
      <c r="F4" s="1692"/>
      <c r="G4" s="1138"/>
      <c r="H4" s="1703"/>
      <c r="I4" s="1704"/>
      <c r="J4" s="1704"/>
      <c r="K4" s="1704"/>
      <c r="L4" s="1704"/>
      <c r="M4" s="1704"/>
      <c r="N4" s="725"/>
      <c r="O4" s="725"/>
      <c r="P4" s="725"/>
      <c r="Q4" s="725"/>
      <c r="R4" s="725"/>
    </row>
    <row r="5" spans="1:18" s="199" customFormat="1" ht="12.75">
      <c r="A5" s="1139"/>
      <c r="B5" s="1140"/>
      <c r="C5" s="1141"/>
      <c r="D5" s="1142"/>
      <c r="E5" s="1143"/>
      <c r="F5" s="1143"/>
      <c r="G5" s="1143"/>
      <c r="H5" s="1142"/>
      <c r="I5" s="1142"/>
      <c r="J5" s="1142"/>
      <c r="K5" s="1142"/>
      <c r="L5" s="1142"/>
      <c r="M5" s="1142"/>
      <c r="N5" s="1144"/>
      <c r="O5" s="1144"/>
      <c r="P5" s="1144"/>
      <c r="Q5" s="1145"/>
      <c r="R5" s="725"/>
    </row>
    <row r="6" spans="1:18">
      <c r="A6" s="1137"/>
      <c r="B6" s="1087"/>
      <c r="C6" s="1087"/>
      <c r="D6" s="1126"/>
      <c r="E6" s="1126"/>
      <c r="F6" s="1126"/>
      <c r="G6" s="1126"/>
      <c r="H6" s="1126"/>
      <c r="I6" s="1126"/>
      <c r="J6" s="1126"/>
      <c r="K6" s="1126"/>
      <c r="L6" s="1126"/>
      <c r="M6" s="1126"/>
      <c r="N6" s="1126"/>
      <c r="O6" s="1126"/>
      <c r="P6" s="1126"/>
      <c r="Q6" s="1127"/>
    </row>
    <row r="7" spans="1:18">
      <c r="A7" s="1118"/>
      <c r="B7" s="1087"/>
      <c r="C7" s="1088" t="s">
        <v>693</v>
      </c>
      <c r="D7" s="1126"/>
      <c r="E7" s="1126"/>
      <c r="F7" s="1126"/>
      <c r="G7" s="1126"/>
      <c r="H7" s="1126"/>
      <c r="I7" s="1126"/>
      <c r="J7" s="1126"/>
      <c r="K7" s="1126"/>
      <c r="L7" s="1126"/>
      <c r="M7" s="1126"/>
      <c r="N7" s="1126"/>
      <c r="O7" s="1126"/>
      <c r="P7" s="1126"/>
      <c r="Q7" s="1127"/>
    </row>
    <row r="8" spans="1:18" ht="22.5" customHeight="1">
      <c r="A8" s="1643" t="s">
        <v>303</v>
      </c>
      <c r="B8" s="1089" t="s">
        <v>694</v>
      </c>
      <c r="C8" s="1090" t="s">
        <v>695</v>
      </c>
      <c r="D8" s="1128" t="s">
        <v>145</v>
      </c>
      <c r="E8" s="1128" t="s">
        <v>155</v>
      </c>
      <c r="F8" s="1128" t="s">
        <v>154</v>
      </c>
      <c r="G8" s="1128" t="s">
        <v>153</v>
      </c>
      <c r="H8" s="1128" t="s">
        <v>133</v>
      </c>
      <c r="I8" s="1128" t="s">
        <v>130</v>
      </c>
      <c r="J8" s="1128" t="s">
        <v>261</v>
      </c>
      <c r="K8" s="1128" t="s">
        <v>151</v>
      </c>
      <c r="L8" s="1128" t="s">
        <v>150</v>
      </c>
      <c r="M8" s="1128" t="s">
        <v>149</v>
      </c>
      <c r="N8" s="1128" t="s">
        <v>160</v>
      </c>
      <c r="O8" s="1128" t="s">
        <v>147</v>
      </c>
      <c r="P8" s="1128" t="s">
        <v>145</v>
      </c>
      <c r="Q8" s="1129" t="s">
        <v>696</v>
      </c>
    </row>
    <row r="9" spans="1:18">
      <c r="A9" s="1118"/>
      <c r="B9" s="1091"/>
      <c r="C9" s="1091"/>
      <c r="D9" s="1130" t="s">
        <v>697</v>
      </c>
      <c r="E9" s="1130" t="s">
        <v>698</v>
      </c>
      <c r="F9" s="1130" t="s">
        <v>699</v>
      </c>
      <c r="G9" s="1130" t="s">
        <v>700</v>
      </c>
      <c r="H9" s="1130" t="s">
        <v>701</v>
      </c>
      <c r="I9" s="1130" t="s">
        <v>702</v>
      </c>
      <c r="J9" s="1130" t="s">
        <v>703</v>
      </c>
      <c r="K9" s="1130" t="s">
        <v>704</v>
      </c>
      <c r="L9" s="1130" t="s">
        <v>705</v>
      </c>
      <c r="M9" s="1130" t="s">
        <v>706</v>
      </c>
      <c r="N9" s="1130" t="s">
        <v>707</v>
      </c>
      <c r="O9" s="1130" t="s">
        <v>708</v>
      </c>
      <c r="P9" s="1130" t="s">
        <v>709</v>
      </c>
      <c r="Q9" s="1131" t="s">
        <v>710</v>
      </c>
    </row>
    <row r="10" spans="1:18">
      <c r="A10" s="1118">
        <f>+'2a - Cost Support'!A183+1</f>
        <v>181</v>
      </c>
      <c r="B10" s="1093" t="s">
        <v>711</v>
      </c>
      <c r="C10" s="1091"/>
      <c r="D10" s="1114"/>
      <c r="E10" s="1114"/>
      <c r="F10" s="1114"/>
      <c r="G10" s="1114"/>
      <c r="H10" s="1114"/>
      <c r="I10" s="1114"/>
      <c r="J10" s="1114"/>
      <c r="K10" s="1114"/>
      <c r="L10" s="1114"/>
      <c r="M10" s="1114"/>
      <c r="N10" s="1114"/>
      <c r="O10" s="1114"/>
      <c r="P10" s="1114"/>
      <c r="Q10" s="1115"/>
    </row>
    <row r="11" spans="1:18">
      <c r="A11" s="1118">
        <f t="shared" ref="A11:A41" si="0">A10+1</f>
        <v>182</v>
      </c>
      <c r="B11" s="1094" t="s">
        <v>712</v>
      </c>
      <c r="C11" s="1092" t="s">
        <v>713</v>
      </c>
      <c r="D11" s="1095">
        <v>0</v>
      </c>
      <c r="E11" s="1095">
        <v>0</v>
      </c>
      <c r="F11" s="1095">
        <v>0</v>
      </c>
      <c r="G11" s="1095">
        <v>0</v>
      </c>
      <c r="H11" s="1095">
        <v>0</v>
      </c>
      <c r="I11" s="1095">
        <v>0</v>
      </c>
      <c r="J11" s="1095">
        <v>0</v>
      </c>
      <c r="K11" s="1095">
        <v>0</v>
      </c>
      <c r="L11" s="1095">
        <v>0</v>
      </c>
      <c r="M11" s="1095">
        <v>0</v>
      </c>
      <c r="N11" s="1095">
        <v>0</v>
      </c>
      <c r="O11" s="1095">
        <v>0</v>
      </c>
      <c r="P11" s="1095">
        <v>0</v>
      </c>
      <c r="Q11" s="1096">
        <f>AVERAGE(D11:P11)</f>
        <v>0</v>
      </c>
    </row>
    <row r="12" spans="1:18">
      <c r="A12" s="1118">
        <f t="shared" si="0"/>
        <v>183</v>
      </c>
      <c r="B12" s="1094" t="s">
        <v>714</v>
      </c>
      <c r="C12" s="1092" t="s">
        <v>715</v>
      </c>
      <c r="D12" s="1097">
        <v>0</v>
      </c>
      <c r="E12" s="1097">
        <v>0</v>
      </c>
      <c r="F12" s="1097">
        <v>0</v>
      </c>
      <c r="G12" s="1097">
        <v>0</v>
      </c>
      <c r="H12" s="1097">
        <v>0</v>
      </c>
      <c r="I12" s="1097">
        <v>0</v>
      </c>
      <c r="J12" s="1097">
        <v>0</v>
      </c>
      <c r="K12" s="1097">
        <v>0</v>
      </c>
      <c r="L12" s="1097">
        <v>0</v>
      </c>
      <c r="M12" s="1097">
        <v>0</v>
      </c>
      <c r="N12" s="1097">
        <v>0</v>
      </c>
      <c r="O12" s="1097">
        <v>0</v>
      </c>
      <c r="P12" s="1097">
        <v>0</v>
      </c>
      <c r="Q12" s="1098">
        <f>AVERAGE(D12:P12)</f>
        <v>0</v>
      </c>
    </row>
    <row r="13" spans="1:18">
      <c r="A13" s="1118">
        <f t="shared" si="0"/>
        <v>184</v>
      </c>
      <c r="B13" s="1094" t="s">
        <v>716</v>
      </c>
      <c r="C13" s="1092" t="s">
        <v>717</v>
      </c>
      <c r="D13" s="1097">
        <v>0</v>
      </c>
      <c r="E13" s="1097">
        <v>0</v>
      </c>
      <c r="F13" s="1097">
        <v>0</v>
      </c>
      <c r="G13" s="1097">
        <v>0</v>
      </c>
      <c r="H13" s="1097">
        <v>0</v>
      </c>
      <c r="I13" s="1097">
        <v>0</v>
      </c>
      <c r="J13" s="1097">
        <v>0</v>
      </c>
      <c r="K13" s="1097">
        <v>0</v>
      </c>
      <c r="L13" s="1097">
        <v>0</v>
      </c>
      <c r="M13" s="1097">
        <v>0</v>
      </c>
      <c r="N13" s="1097">
        <v>0</v>
      </c>
      <c r="O13" s="1097">
        <v>0</v>
      </c>
      <c r="P13" s="1097">
        <v>0</v>
      </c>
      <c r="Q13" s="1098">
        <f>AVERAGE(D13:P13)</f>
        <v>0</v>
      </c>
    </row>
    <row r="14" spans="1:18" ht="15.75" thickBot="1">
      <c r="A14" s="1118">
        <f t="shared" si="0"/>
        <v>185</v>
      </c>
      <c r="B14" s="1099" t="s">
        <v>718</v>
      </c>
      <c r="C14" s="1092" t="s">
        <v>719</v>
      </c>
      <c r="D14" s="1100">
        <v>0</v>
      </c>
      <c r="E14" s="1100">
        <v>0</v>
      </c>
      <c r="F14" s="1100">
        <v>0</v>
      </c>
      <c r="G14" s="1100">
        <v>0</v>
      </c>
      <c r="H14" s="1100">
        <v>0</v>
      </c>
      <c r="I14" s="1100">
        <v>0</v>
      </c>
      <c r="J14" s="1100">
        <v>0</v>
      </c>
      <c r="K14" s="1100">
        <v>0</v>
      </c>
      <c r="L14" s="1100">
        <v>0</v>
      </c>
      <c r="M14" s="1100">
        <v>0</v>
      </c>
      <c r="N14" s="1100">
        <v>0</v>
      </c>
      <c r="O14" s="1100">
        <v>0</v>
      </c>
      <c r="P14" s="1100">
        <v>0</v>
      </c>
      <c r="Q14" s="1098">
        <f>AVERAGE(D14:P14)</f>
        <v>0</v>
      </c>
    </row>
    <row r="15" spans="1:18" ht="15.75" thickBot="1">
      <c r="A15" s="1118">
        <f t="shared" si="0"/>
        <v>186</v>
      </c>
      <c r="B15" s="1101" t="s">
        <v>720</v>
      </c>
      <c r="C15" s="1102" t="str">
        <f>"Sum Lines "&amp;A10&amp;" - "&amp;A14</f>
        <v>Sum Lines 181 - 185</v>
      </c>
      <c r="D15" s="1103">
        <f>SUM(D11:D14)</f>
        <v>0</v>
      </c>
      <c r="E15" s="1103">
        <f>SUM(E11:E14)</f>
        <v>0</v>
      </c>
      <c r="F15" s="1103">
        <f t="shared" ref="F15:P15" si="1">SUM(F11:F14)</f>
        <v>0</v>
      </c>
      <c r="G15" s="1103">
        <f t="shared" si="1"/>
        <v>0</v>
      </c>
      <c r="H15" s="1103">
        <f t="shared" si="1"/>
        <v>0</v>
      </c>
      <c r="I15" s="1103">
        <f t="shared" si="1"/>
        <v>0</v>
      </c>
      <c r="J15" s="1103">
        <f t="shared" si="1"/>
        <v>0</v>
      </c>
      <c r="K15" s="1103">
        <f t="shared" si="1"/>
        <v>0</v>
      </c>
      <c r="L15" s="1103">
        <f t="shared" si="1"/>
        <v>0</v>
      </c>
      <c r="M15" s="1103">
        <f t="shared" si="1"/>
        <v>0</v>
      </c>
      <c r="N15" s="1103">
        <f t="shared" si="1"/>
        <v>0</v>
      </c>
      <c r="O15" s="1103">
        <f t="shared" si="1"/>
        <v>0</v>
      </c>
      <c r="P15" s="1103">
        <f t="shared" si="1"/>
        <v>0</v>
      </c>
      <c r="Q15" s="1104">
        <f>SUM(Q11:Q14)</f>
        <v>0</v>
      </c>
    </row>
    <row r="16" spans="1:18" ht="15.75" thickBot="1">
      <c r="A16" s="1118">
        <f t="shared" si="0"/>
        <v>187</v>
      </c>
      <c r="B16" s="1093"/>
      <c r="C16" s="1093"/>
      <c r="D16" s="1114"/>
      <c r="E16" s="1114"/>
      <c r="F16" s="1114"/>
      <c r="G16" s="1114"/>
      <c r="H16" s="1114"/>
      <c r="I16" s="1114"/>
      <c r="J16" s="1114"/>
      <c r="K16" s="1114"/>
      <c r="L16" s="1114"/>
      <c r="M16" s="1114"/>
      <c r="N16" s="1114"/>
      <c r="O16" s="1114"/>
      <c r="P16" s="1114"/>
      <c r="Q16" s="1115"/>
    </row>
    <row r="17" spans="1:17" ht="15.75" thickBot="1">
      <c r="A17" s="1118">
        <f t="shared" si="0"/>
        <v>188</v>
      </c>
      <c r="B17" s="1101" t="s">
        <v>721</v>
      </c>
      <c r="C17" s="1092" t="s">
        <v>722</v>
      </c>
      <c r="D17" s="1121">
        <v>0</v>
      </c>
      <c r="E17" s="1121">
        <v>0</v>
      </c>
      <c r="F17" s="1121">
        <v>0</v>
      </c>
      <c r="G17" s="1121">
        <v>0</v>
      </c>
      <c r="H17" s="1121">
        <v>0</v>
      </c>
      <c r="I17" s="1121">
        <v>0</v>
      </c>
      <c r="J17" s="1121">
        <v>0</v>
      </c>
      <c r="K17" s="1121">
        <v>0</v>
      </c>
      <c r="L17" s="1121">
        <v>0</v>
      </c>
      <c r="M17" s="1121">
        <v>0</v>
      </c>
      <c r="N17" s="1121">
        <v>0</v>
      </c>
      <c r="O17" s="1121">
        <v>0</v>
      </c>
      <c r="P17" s="1122">
        <v>0</v>
      </c>
      <c r="Q17" s="1104">
        <f>AVERAGE(D17:P17)</f>
        <v>0</v>
      </c>
    </row>
    <row r="18" spans="1:17">
      <c r="A18" s="1118">
        <f t="shared" si="0"/>
        <v>189</v>
      </c>
      <c r="B18" s="1093"/>
      <c r="C18" s="1105"/>
      <c r="D18" s="1114"/>
      <c r="E18" s="1114"/>
      <c r="F18" s="1114"/>
      <c r="G18" s="1114"/>
      <c r="H18" s="1114"/>
      <c r="I18" s="1114"/>
      <c r="J18" s="1114"/>
      <c r="K18" s="1114"/>
      <c r="L18" s="1114"/>
      <c r="M18" s="1114"/>
      <c r="N18" s="1114"/>
      <c r="O18" s="1114"/>
      <c r="P18" s="1114"/>
      <c r="Q18" s="1115"/>
    </row>
    <row r="19" spans="1:17">
      <c r="A19" s="1118">
        <f t="shared" si="0"/>
        <v>190</v>
      </c>
      <c r="B19" s="1093" t="s">
        <v>723</v>
      </c>
      <c r="C19" s="1092" t="s">
        <v>724</v>
      </c>
      <c r="D19" s="1630">
        <v>6408520.8999999994</v>
      </c>
      <c r="E19" s="1630">
        <v>6443732.5999999996</v>
      </c>
      <c r="F19" s="1630">
        <v>6473504.8499999996</v>
      </c>
      <c r="G19" s="1630">
        <v>6506251.5800000001</v>
      </c>
      <c r="H19" s="1630">
        <v>6087653.6600000001</v>
      </c>
      <c r="I19" s="1630">
        <v>6120353.7300000004</v>
      </c>
      <c r="J19" s="1630">
        <v>6437556.3799999999</v>
      </c>
      <c r="K19" s="1630">
        <v>6463970.7300000004</v>
      </c>
      <c r="L19" s="1630">
        <v>5898710.0199999996</v>
      </c>
      <c r="M19" s="1630">
        <v>6035096.46</v>
      </c>
      <c r="N19" s="1630">
        <v>5613585</v>
      </c>
      <c r="O19" s="1630">
        <v>5040217.58</v>
      </c>
      <c r="P19" s="1630">
        <v>4644081.55</v>
      </c>
      <c r="Q19" s="1096">
        <f>AVERAGE(D19:P19)</f>
        <v>6013325.7723076921</v>
      </c>
    </row>
    <row r="20" spans="1:17">
      <c r="A20" s="1118">
        <f t="shared" si="0"/>
        <v>191</v>
      </c>
      <c r="B20" s="1094" t="s">
        <v>725</v>
      </c>
      <c r="C20" s="1092" t="s">
        <v>722</v>
      </c>
      <c r="D20" s="1121">
        <v>0</v>
      </c>
      <c r="E20" s="1121">
        <v>0</v>
      </c>
      <c r="F20" s="1121">
        <v>0</v>
      </c>
      <c r="G20" s="1121">
        <v>0</v>
      </c>
      <c r="H20" s="1121">
        <v>0</v>
      </c>
      <c r="I20" s="1121">
        <v>0</v>
      </c>
      <c r="J20" s="1121">
        <v>0</v>
      </c>
      <c r="K20" s="1121">
        <v>0</v>
      </c>
      <c r="L20" s="1121">
        <v>0</v>
      </c>
      <c r="M20" s="1121">
        <v>0</v>
      </c>
      <c r="N20" s="1121">
        <v>0</v>
      </c>
      <c r="O20" s="1121">
        <v>0</v>
      </c>
      <c r="P20" s="1121">
        <v>0</v>
      </c>
      <c r="Q20" s="1096">
        <f>AVERAGE(D20:P20)</f>
        <v>0</v>
      </c>
    </row>
    <row r="21" spans="1:17">
      <c r="A21" s="1118">
        <f t="shared" si="0"/>
        <v>192</v>
      </c>
      <c r="B21" s="1106" t="s">
        <v>726</v>
      </c>
      <c r="C21" s="1092" t="s">
        <v>727</v>
      </c>
      <c r="D21" s="1121">
        <v>0</v>
      </c>
      <c r="E21" s="1121">
        <v>0</v>
      </c>
      <c r="F21" s="1121">
        <v>0</v>
      </c>
      <c r="G21" s="1121">
        <v>0</v>
      </c>
      <c r="H21" s="1121">
        <v>0</v>
      </c>
      <c r="I21" s="1121">
        <v>0</v>
      </c>
      <c r="J21" s="1121">
        <v>0</v>
      </c>
      <c r="K21" s="1121">
        <v>0</v>
      </c>
      <c r="L21" s="1121">
        <v>0</v>
      </c>
      <c r="M21" s="1121">
        <v>0</v>
      </c>
      <c r="N21" s="1121">
        <v>0</v>
      </c>
      <c r="O21" s="1121">
        <v>0</v>
      </c>
      <c r="P21" s="1121">
        <v>0</v>
      </c>
      <c r="Q21" s="1096">
        <f>AVERAGE(D21:P21)</f>
        <v>0</v>
      </c>
    </row>
    <row r="22" spans="1:17" ht="15.75" thickBot="1">
      <c r="A22" s="1118">
        <f t="shared" si="0"/>
        <v>193</v>
      </c>
      <c r="B22" s="1106" t="s">
        <v>728</v>
      </c>
      <c r="C22" s="1092" t="s">
        <v>729</v>
      </c>
      <c r="D22" s="1123">
        <v>0</v>
      </c>
      <c r="E22" s="1123">
        <v>0</v>
      </c>
      <c r="F22" s="1123">
        <v>0</v>
      </c>
      <c r="G22" s="1123">
        <v>0</v>
      </c>
      <c r="H22" s="1123">
        <v>0</v>
      </c>
      <c r="I22" s="1123">
        <v>0</v>
      </c>
      <c r="J22" s="1123">
        <v>0</v>
      </c>
      <c r="K22" s="1123">
        <v>0</v>
      </c>
      <c r="L22" s="1123">
        <v>0</v>
      </c>
      <c r="M22" s="1123">
        <v>0</v>
      </c>
      <c r="N22" s="1123">
        <v>0</v>
      </c>
      <c r="O22" s="1123">
        <v>0</v>
      </c>
      <c r="P22" s="1123">
        <v>0</v>
      </c>
      <c r="Q22" s="1107">
        <f>AVERAGE(D22:P22)</f>
        <v>0</v>
      </c>
    </row>
    <row r="23" spans="1:17" ht="15.75" thickBot="1">
      <c r="A23" s="1118">
        <f t="shared" si="0"/>
        <v>194</v>
      </c>
      <c r="B23" s="1093" t="str">
        <f>"Adjusted Common Equity"</f>
        <v>Adjusted Common Equity</v>
      </c>
      <c r="C23" s="1102" t="str">
        <f>"Ln "&amp; A19&amp;" - "&amp;A20&amp;" - "&amp;A21&amp;" - "&amp;A22</f>
        <v>Ln 190 - 191 - 192 - 193</v>
      </c>
      <c r="D23" s="1114">
        <f>D19-D20-D21-D22</f>
        <v>6408520.8999999994</v>
      </c>
      <c r="E23" s="1114">
        <f t="shared" ref="E23:Q23" si="2">E19-E20-E21-E22</f>
        <v>6443732.5999999996</v>
      </c>
      <c r="F23" s="1114">
        <f t="shared" si="2"/>
        <v>6473504.8499999996</v>
      </c>
      <c r="G23" s="1114">
        <f t="shared" si="2"/>
        <v>6506251.5800000001</v>
      </c>
      <c r="H23" s="1114">
        <f t="shared" si="2"/>
        <v>6087653.6600000001</v>
      </c>
      <c r="I23" s="1114">
        <f t="shared" si="2"/>
        <v>6120353.7300000004</v>
      </c>
      <c r="J23" s="1114">
        <f t="shared" si="2"/>
        <v>6437556.3799999999</v>
      </c>
      <c r="K23" s="1114">
        <f t="shared" si="2"/>
        <v>6463970.7300000004</v>
      </c>
      <c r="L23" s="1114">
        <f t="shared" si="2"/>
        <v>5898710.0199999996</v>
      </c>
      <c r="M23" s="1114">
        <f t="shared" si="2"/>
        <v>6035096.46</v>
      </c>
      <c r="N23" s="1114">
        <f t="shared" si="2"/>
        <v>5613585</v>
      </c>
      <c r="O23" s="1114">
        <f t="shared" si="2"/>
        <v>5040217.58</v>
      </c>
      <c r="P23" s="1114">
        <f t="shared" si="2"/>
        <v>4644081.55</v>
      </c>
      <c r="Q23" s="1132">
        <f t="shared" si="2"/>
        <v>6013325.7723076921</v>
      </c>
    </row>
    <row r="24" spans="1:17">
      <c r="A24" s="1118">
        <f t="shared" si="0"/>
        <v>195</v>
      </c>
      <c r="B24" s="1093"/>
      <c r="C24" s="1105"/>
      <c r="D24" s="1114"/>
      <c r="E24" s="1114"/>
      <c r="F24" s="1114"/>
      <c r="G24" s="1114"/>
      <c r="H24" s="1114"/>
      <c r="I24" s="1114"/>
      <c r="J24" s="1114"/>
      <c r="K24" s="1114"/>
      <c r="L24" s="1114"/>
      <c r="M24" s="1114"/>
      <c r="N24" s="1114"/>
      <c r="O24" s="1114"/>
      <c r="P24" s="1114"/>
      <c r="Q24" s="1115"/>
    </row>
    <row r="25" spans="1:17">
      <c r="A25" s="1118">
        <f t="shared" si="0"/>
        <v>196</v>
      </c>
      <c r="B25" s="1093" t="str">
        <f>"Total (Line "&amp;A15&amp;" plus Line "&amp;A17&amp;" plus Line "&amp;A23&amp;")"</f>
        <v>Total (Line 186 plus Line 188 plus Line 194)</v>
      </c>
      <c r="C25" s="1093"/>
      <c r="D25" s="1114">
        <f>D15+D17+D23</f>
        <v>6408520.8999999994</v>
      </c>
      <c r="E25" s="1114">
        <f t="shared" ref="E25:Q25" si="3">E15+E17+E23</f>
        <v>6443732.5999999996</v>
      </c>
      <c r="F25" s="1114">
        <f t="shared" si="3"/>
        <v>6473504.8499999996</v>
      </c>
      <c r="G25" s="1114">
        <f t="shared" si="3"/>
        <v>6506251.5800000001</v>
      </c>
      <c r="H25" s="1114">
        <f t="shared" si="3"/>
        <v>6087653.6600000001</v>
      </c>
      <c r="I25" s="1114">
        <f t="shared" si="3"/>
        <v>6120353.7300000004</v>
      </c>
      <c r="J25" s="1114">
        <f t="shared" si="3"/>
        <v>6437556.3799999999</v>
      </c>
      <c r="K25" s="1114">
        <f t="shared" si="3"/>
        <v>6463970.7300000004</v>
      </c>
      <c r="L25" s="1114">
        <f t="shared" si="3"/>
        <v>5898710.0199999996</v>
      </c>
      <c r="M25" s="1114">
        <f t="shared" si="3"/>
        <v>6035096.46</v>
      </c>
      <c r="N25" s="1114">
        <f t="shared" si="3"/>
        <v>5613585</v>
      </c>
      <c r="O25" s="1114">
        <f t="shared" si="3"/>
        <v>5040217.58</v>
      </c>
      <c r="P25" s="1114">
        <f t="shared" si="3"/>
        <v>4644081.55</v>
      </c>
      <c r="Q25" s="1115">
        <f t="shared" si="3"/>
        <v>6013325.7723076921</v>
      </c>
    </row>
    <row r="26" spans="1:17">
      <c r="A26" s="1118">
        <f t="shared" si="0"/>
        <v>197</v>
      </c>
      <c r="B26" s="1093"/>
      <c r="C26" s="1105"/>
      <c r="D26" s="1113"/>
      <c r="E26" s="1114"/>
      <c r="F26" s="1114"/>
      <c r="G26" s="1114"/>
      <c r="H26" s="1114"/>
      <c r="I26" s="1114"/>
      <c r="J26" s="1114"/>
      <c r="K26" s="1114"/>
      <c r="L26" s="1114"/>
      <c r="M26" s="1114"/>
      <c r="N26" s="1114"/>
      <c r="O26" s="1114"/>
      <c r="P26" s="1114"/>
      <c r="Q26" s="1115"/>
    </row>
    <row r="27" spans="1:17">
      <c r="A27" s="1118">
        <f t="shared" si="0"/>
        <v>198</v>
      </c>
      <c r="B27" s="1105" t="s">
        <v>730</v>
      </c>
      <c r="C27" s="1105"/>
      <c r="D27" s="1113"/>
      <c r="E27" s="1133"/>
      <c r="F27" s="1133"/>
      <c r="G27" s="1133"/>
      <c r="H27" s="1133"/>
      <c r="I27" s="1133"/>
      <c r="J27" s="1133"/>
      <c r="K27" s="1133"/>
      <c r="L27" s="1133"/>
      <c r="M27" s="1133"/>
      <c r="N27" s="1133"/>
      <c r="O27" s="1133"/>
      <c r="P27" s="1133"/>
      <c r="Q27" s="1134"/>
    </row>
    <row r="28" spans="1:17">
      <c r="A28" s="1118">
        <f t="shared" si="0"/>
        <v>199</v>
      </c>
      <c r="B28" s="1106" t="s">
        <v>731</v>
      </c>
      <c r="C28" s="1102" t="s">
        <v>732</v>
      </c>
      <c r="D28" s="598"/>
      <c r="E28" s="1114"/>
      <c r="F28" s="1113"/>
      <c r="G28" s="1113"/>
      <c r="H28" s="1113"/>
      <c r="I28" s="1113"/>
      <c r="J28" s="1113"/>
      <c r="K28" s="1113"/>
      <c r="L28" s="1113"/>
      <c r="M28" s="1113"/>
      <c r="N28" s="1113"/>
      <c r="O28" s="1113"/>
      <c r="P28" s="1124">
        <v>0</v>
      </c>
      <c r="Q28" s="1115"/>
    </row>
    <row r="29" spans="1:17">
      <c r="A29" s="1118">
        <f t="shared" si="0"/>
        <v>200</v>
      </c>
      <c r="B29" s="1106" t="s">
        <v>733</v>
      </c>
      <c r="C29" s="1092" t="s">
        <v>734</v>
      </c>
      <c r="D29" s="1126"/>
      <c r="E29" s="1114"/>
      <c r="F29" s="1113"/>
      <c r="G29" s="1113"/>
      <c r="H29" s="1113"/>
      <c r="I29" s="1113"/>
      <c r="J29" s="1113"/>
      <c r="K29" s="1113"/>
      <c r="L29" s="1113"/>
      <c r="M29" s="1113"/>
      <c r="N29" s="1113"/>
      <c r="O29" s="1113"/>
      <c r="P29" s="1124">
        <v>0</v>
      </c>
      <c r="Q29" s="1115"/>
    </row>
    <row r="30" spans="1:17">
      <c r="A30" s="1118">
        <f t="shared" si="0"/>
        <v>201</v>
      </c>
      <c r="B30" s="1106" t="s">
        <v>735</v>
      </c>
      <c r="C30" s="1092" t="s">
        <v>736</v>
      </c>
      <c r="D30" s="1126"/>
      <c r="E30" s="1114"/>
      <c r="F30" s="1113"/>
      <c r="G30" s="1113"/>
      <c r="H30" s="1113"/>
      <c r="I30" s="1113"/>
      <c r="J30" s="1113"/>
      <c r="K30" s="1113"/>
      <c r="L30" s="1113"/>
      <c r="M30" s="1113"/>
      <c r="N30" s="1113"/>
      <c r="O30" s="1113"/>
      <c r="P30" s="1124">
        <v>0</v>
      </c>
      <c r="Q30" s="1115"/>
    </row>
    <row r="31" spans="1:17" ht="32.25" customHeight="1">
      <c r="A31" s="1118">
        <f t="shared" si="0"/>
        <v>202</v>
      </c>
      <c r="B31" s="1108" t="s">
        <v>737</v>
      </c>
      <c r="C31" s="1102" t="s">
        <v>738</v>
      </c>
      <c r="D31" s="598"/>
      <c r="E31" s="1114"/>
      <c r="F31" s="1113"/>
      <c r="G31" s="1113"/>
      <c r="H31" s="1113"/>
      <c r="I31" s="1113"/>
      <c r="J31" s="1113"/>
      <c r="K31" s="1113"/>
      <c r="L31" s="1113"/>
      <c r="M31" s="1113"/>
      <c r="N31" s="1113"/>
      <c r="O31" s="1113"/>
      <c r="P31" s="1124">
        <v>0</v>
      </c>
      <c r="Q31" s="1115"/>
    </row>
    <row r="32" spans="1:17">
      <c r="A32" s="1118">
        <f t="shared" si="0"/>
        <v>203</v>
      </c>
      <c r="B32" s="1109" t="s">
        <v>739</v>
      </c>
      <c r="C32" s="1101" t="s">
        <v>740</v>
      </c>
      <c r="D32" s="1126"/>
      <c r="E32" s="1114"/>
      <c r="F32" s="1113"/>
      <c r="G32" s="1113"/>
      <c r="H32" s="1113"/>
      <c r="I32" s="1113"/>
      <c r="J32" s="1113"/>
      <c r="K32" s="1113"/>
      <c r="L32" s="1113"/>
      <c r="M32" s="1113"/>
      <c r="N32" s="1113"/>
      <c r="O32" s="1113"/>
      <c r="P32" s="1124">
        <v>0</v>
      </c>
      <c r="Q32" s="1115"/>
    </row>
    <row r="33" spans="1:17">
      <c r="A33" s="1118">
        <f t="shared" si="0"/>
        <v>204</v>
      </c>
      <c r="B33" s="1109" t="s">
        <v>741</v>
      </c>
      <c r="C33" s="1101" t="s">
        <v>742</v>
      </c>
      <c r="D33" s="1126"/>
      <c r="E33" s="1114"/>
      <c r="F33" s="1113"/>
      <c r="G33" s="1113"/>
      <c r="H33" s="1113"/>
      <c r="I33" s="1113"/>
      <c r="J33" s="1113"/>
      <c r="K33" s="1113"/>
      <c r="L33" s="1113"/>
      <c r="M33" s="1113"/>
      <c r="N33" s="1113"/>
      <c r="O33" s="1113"/>
      <c r="P33" s="1125">
        <v>0</v>
      </c>
      <c r="Q33" s="1115"/>
    </row>
    <row r="34" spans="1:17">
      <c r="A34" s="1118">
        <f>A33+1</f>
        <v>205</v>
      </c>
      <c r="B34" s="1106" t="s">
        <v>743</v>
      </c>
      <c r="C34" s="1102" t="str">
        <f>"Sum Lines "&amp;A28&amp;" - "&amp;A33</f>
        <v>Sum Lines 199 - 204</v>
      </c>
      <c r="D34" s="1113"/>
      <c r="E34" s="1114"/>
      <c r="F34" s="1113"/>
      <c r="G34" s="1113"/>
      <c r="H34" s="1113"/>
      <c r="I34" s="1113"/>
      <c r="J34" s="1113"/>
      <c r="K34" s="1113"/>
      <c r="L34" s="1113"/>
      <c r="M34" s="1113"/>
      <c r="N34" s="1113"/>
      <c r="O34" s="1113"/>
      <c r="P34" s="1113">
        <f>SUM(P28:P33)</f>
        <v>0</v>
      </c>
      <c r="Q34" s="1115"/>
    </row>
    <row r="35" spans="1:17" ht="15.75" thickBot="1">
      <c r="A35" s="1118">
        <f t="shared" si="0"/>
        <v>206</v>
      </c>
      <c r="B35" s="1110"/>
      <c r="C35" s="1105"/>
      <c r="D35" s="1113"/>
      <c r="E35" s="1113"/>
      <c r="F35" s="1113"/>
      <c r="G35" s="1113"/>
      <c r="H35" s="1113"/>
      <c r="I35" s="1113"/>
      <c r="J35" s="1113"/>
      <c r="K35" s="1113"/>
      <c r="L35" s="1113"/>
      <c r="M35" s="1113"/>
      <c r="N35" s="1113"/>
      <c r="O35" s="1113"/>
      <c r="P35" s="1113"/>
      <c r="Q35" s="1115"/>
    </row>
    <row r="36" spans="1:17" ht="15.75" thickBot="1">
      <c r="A36" s="1118">
        <f t="shared" si="0"/>
        <v>207</v>
      </c>
      <c r="B36" s="1110" t="str">
        <f>"Average Cost of Debt (Line "&amp;A34&amp;" / Line "&amp;A15&amp;")"</f>
        <v>Average Cost of Debt (Line 205 / Line 186)</v>
      </c>
      <c r="C36" s="1093"/>
      <c r="D36" s="1114"/>
      <c r="E36" s="1114"/>
      <c r="F36" s="1114"/>
      <c r="G36" s="1114"/>
      <c r="H36" s="1114"/>
      <c r="I36" s="1114"/>
      <c r="J36" s="1114"/>
      <c r="K36" s="1114"/>
      <c r="L36" s="1114"/>
      <c r="M36" s="1114"/>
      <c r="N36" s="1114"/>
      <c r="O36" s="1114"/>
      <c r="P36" s="1104">
        <f>IF(Q15=0,0,ROUND(P34/Q15,4))</f>
        <v>0</v>
      </c>
      <c r="Q36" s="1115"/>
    </row>
    <row r="37" spans="1:17">
      <c r="A37" s="1118">
        <f t="shared" si="0"/>
        <v>208</v>
      </c>
      <c r="B37" s="1110"/>
      <c r="C37" s="1093"/>
      <c r="D37" s="1114"/>
      <c r="E37" s="1114"/>
      <c r="F37" s="1114"/>
      <c r="G37" s="1114"/>
      <c r="H37" s="1114"/>
      <c r="I37" s="1114"/>
      <c r="J37" s="1114"/>
      <c r="K37" s="1114"/>
      <c r="L37" s="1114"/>
      <c r="M37" s="1114"/>
      <c r="N37" s="1114"/>
      <c r="O37" s="1114"/>
      <c r="P37" s="1103"/>
      <c r="Q37" s="1115"/>
    </row>
    <row r="38" spans="1:17">
      <c r="A38" s="1118">
        <f t="shared" si="0"/>
        <v>209</v>
      </c>
      <c r="B38" s="1105" t="s">
        <v>329</v>
      </c>
      <c r="C38" s="1093"/>
      <c r="D38" s="1114"/>
      <c r="E38" s="1114"/>
      <c r="F38" s="1114"/>
      <c r="G38" s="1114"/>
      <c r="H38" s="1114"/>
      <c r="I38" s="1114"/>
      <c r="J38" s="1114"/>
      <c r="K38" s="1114"/>
      <c r="L38" s="1114"/>
      <c r="M38" s="1114"/>
      <c r="N38" s="1114"/>
      <c r="O38" s="1114"/>
      <c r="P38" s="1103"/>
      <c r="Q38" s="1115"/>
    </row>
    <row r="39" spans="1:17">
      <c r="A39" s="1118">
        <f t="shared" si="0"/>
        <v>210</v>
      </c>
      <c r="B39" s="1111" t="s">
        <v>744</v>
      </c>
      <c r="C39" s="1092" t="s">
        <v>745</v>
      </c>
      <c r="D39" s="1114"/>
      <c r="E39" s="1114"/>
      <c r="F39" s="1114"/>
      <c r="G39" s="1114"/>
      <c r="H39" s="1114"/>
      <c r="I39" s="1114"/>
      <c r="J39" s="1114"/>
      <c r="K39" s="1114"/>
      <c r="L39" s="1114"/>
      <c r="M39" s="1114"/>
      <c r="N39" s="1114"/>
      <c r="O39" s="1114"/>
      <c r="P39" s="1095"/>
      <c r="Q39" s="1115"/>
    </row>
    <row r="40" spans="1:17">
      <c r="A40" s="1118">
        <f t="shared" si="0"/>
        <v>211</v>
      </c>
      <c r="B40" s="1111"/>
      <c r="C40" s="1093"/>
      <c r="D40" s="1114"/>
      <c r="E40" s="1114"/>
      <c r="F40" s="1114"/>
      <c r="G40" s="1114"/>
      <c r="H40" s="1114"/>
      <c r="I40" s="1114"/>
      <c r="J40" s="1114"/>
      <c r="K40" s="1114"/>
      <c r="L40" s="1114"/>
      <c r="M40" s="1114"/>
      <c r="N40" s="1114"/>
      <c r="O40" s="1114"/>
      <c r="P40" s="1103"/>
      <c r="Q40" s="1115"/>
    </row>
    <row r="41" spans="1:17">
      <c r="A41" s="1118">
        <f t="shared" si="0"/>
        <v>212</v>
      </c>
      <c r="B41" s="1111" t="str">
        <f>"Average Cost of Preferred Stock (Line "&amp;A39&amp;" / Line "&amp;A17&amp;")"</f>
        <v>Average Cost of Preferred Stock (Line 210 / Line 188)</v>
      </c>
      <c r="C41" s="1093"/>
      <c r="D41" s="1114"/>
      <c r="E41" s="1114"/>
      <c r="F41" s="1114"/>
      <c r="G41" s="1114"/>
      <c r="H41" s="1114"/>
      <c r="I41" s="1114"/>
      <c r="J41" s="1114"/>
      <c r="K41" s="1114"/>
      <c r="L41" s="1114"/>
      <c r="M41" s="1114"/>
      <c r="N41" s="1114"/>
      <c r="O41" s="1114"/>
      <c r="P41" s="1103">
        <f>IF(P39=0,0,ROUND(P39/Q17,4))</f>
        <v>0</v>
      </c>
      <c r="Q41" s="1115"/>
    </row>
    <row r="42" spans="1:17">
      <c r="A42" s="1118"/>
      <c r="B42" s="1111"/>
      <c r="C42" s="1091"/>
      <c r="D42" s="1114"/>
      <c r="E42" s="1114"/>
      <c r="F42" s="1114"/>
      <c r="G42" s="1114"/>
      <c r="H42" s="1114"/>
      <c r="I42" s="1114"/>
      <c r="J42" s="1114"/>
      <c r="K42" s="1114"/>
      <c r="L42" s="1114"/>
      <c r="M42" s="1114"/>
      <c r="N42" s="1114"/>
      <c r="O42" s="1114"/>
      <c r="P42" s="1103"/>
      <c r="Q42" s="1115"/>
    </row>
    <row r="43" spans="1:17">
      <c r="A43" s="1118"/>
      <c r="B43" s="1705" t="s">
        <v>746</v>
      </c>
      <c r="C43" s="1705"/>
      <c r="D43" s="1705"/>
      <c r="E43" s="1705"/>
      <c r="F43" s="1705"/>
      <c r="G43" s="1705"/>
      <c r="H43" s="1114"/>
      <c r="I43" s="1114"/>
      <c r="J43" s="1114"/>
      <c r="K43" s="1114"/>
      <c r="L43" s="1114"/>
      <c r="M43" s="1114"/>
      <c r="N43" s="1114"/>
      <c r="O43" s="1114"/>
      <c r="P43" s="1103"/>
      <c r="Q43" s="1115"/>
    </row>
    <row r="44" spans="1:17">
      <c r="A44" s="1118"/>
      <c r="B44" s="664" t="s">
        <v>747</v>
      </c>
      <c r="C44" s="1091"/>
      <c r="D44" s="1114"/>
      <c r="E44" s="1114"/>
      <c r="F44" s="1114"/>
      <c r="G44" s="1114"/>
      <c r="H44" s="1114"/>
      <c r="I44" s="1114"/>
      <c r="J44" s="1114"/>
      <c r="K44" s="1114"/>
      <c r="L44" s="1114"/>
      <c r="M44" s="1114"/>
      <c r="N44" s="1114"/>
      <c r="O44" s="1114"/>
      <c r="P44" s="1103"/>
      <c r="Q44" s="1115"/>
    </row>
    <row r="45" spans="1:17" ht="15.75" thickBot="1">
      <c r="A45" s="1119"/>
      <c r="B45" s="1112"/>
      <c r="C45" s="1112"/>
      <c r="D45" s="1135"/>
      <c r="E45" s="1135"/>
      <c r="F45" s="1135"/>
      <c r="G45" s="1135"/>
      <c r="H45" s="1135"/>
      <c r="I45" s="1135"/>
      <c r="J45" s="1135"/>
      <c r="K45" s="1135"/>
      <c r="L45" s="1135"/>
      <c r="M45" s="1135"/>
      <c r="N45" s="1135"/>
      <c r="O45" s="1135"/>
      <c r="P45" s="1135"/>
      <c r="Q45" s="1136"/>
    </row>
    <row r="46" spans="1:17">
      <c r="B46" s="344"/>
      <c r="C46" s="344"/>
      <c r="D46" s="1116"/>
      <c r="E46" s="1116"/>
      <c r="F46" s="1116"/>
      <c r="G46" s="1116"/>
      <c r="H46" s="1116"/>
      <c r="I46" s="1116"/>
      <c r="J46" s="1116"/>
      <c r="K46" s="1116"/>
      <c r="L46" s="1116"/>
      <c r="M46" s="1116"/>
      <c r="N46" s="1116"/>
      <c r="O46" s="1116"/>
      <c r="P46" s="1116"/>
      <c r="Q46" s="1116"/>
    </row>
  </sheetData>
  <mergeCells count="3">
    <mergeCell ref="A4:F4"/>
    <mergeCell ref="H4:M4"/>
    <mergeCell ref="B43:G43"/>
  </mergeCells>
  <pageMargins left="0.7" right="0.7" top="0.75" bottom="0.75" header="0.3" footer="0.3"/>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L49"/>
  <sheetViews>
    <sheetView view="pageBreakPreview" zoomScale="85" zoomScaleNormal="100" zoomScaleSheetLayoutView="85" workbookViewId="0">
      <selection activeCell="J7" sqref="J7"/>
    </sheetView>
  </sheetViews>
  <sheetFormatPr defaultRowHeight="15"/>
  <cols>
    <col min="2" max="2" width="23.5546875" customWidth="1"/>
    <col min="3" max="3" width="43.88671875" customWidth="1"/>
    <col min="4" max="4" width="12.21875" bestFit="1" customWidth="1"/>
    <col min="9" max="9" width="10.88671875" bestFit="1" customWidth="1"/>
    <col min="10" max="10" width="15.44140625" customWidth="1"/>
  </cols>
  <sheetData>
    <row r="1" spans="1:10" ht="15.75">
      <c r="A1" s="678"/>
      <c r="B1" s="678" t="s">
        <v>465</v>
      </c>
      <c r="C1" s="679"/>
      <c r="D1" s="679"/>
      <c r="E1" s="679"/>
      <c r="F1" s="680" t="s">
        <v>368</v>
      </c>
      <c r="G1" s="679"/>
      <c r="H1" s="679"/>
      <c r="I1" s="679"/>
      <c r="J1" s="681"/>
    </row>
    <row r="2" spans="1:10">
      <c r="A2" s="678"/>
      <c r="B2" s="679" t="s">
        <v>387</v>
      </c>
      <c r="C2" s="679"/>
      <c r="D2" s="682" t="s">
        <v>7</v>
      </c>
      <c r="E2" s="682"/>
      <c r="F2" s="1074" t="s">
        <v>656</v>
      </c>
      <c r="G2" s="682"/>
      <c r="H2" s="682"/>
      <c r="I2" s="682"/>
      <c r="J2" s="683"/>
    </row>
    <row r="3" spans="1:10">
      <c r="A3" s="678"/>
      <c r="B3" s="684"/>
      <c r="C3" s="684"/>
      <c r="D3" s="684"/>
      <c r="E3" s="684"/>
      <c r="F3" s="684"/>
      <c r="G3" s="684"/>
      <c r="H3" s="684"/>
      <c r="I3" s="684"/>
      <c r="J3" s="684"/>
    </row>
    <row r="4" spans="1:10" ht="15.75">
      <c r="A4" s="678"/>
      <c r="B4" s="684"/>
      <c r="C4" s="684"/>
      <c r="D4" s="684"/>
      <c r="E4" s="684"/>
      <c r="F4" s="685" t="str">
        <f>+'1 - Revenue Credits'!A2</f>
        <v>MidAmerican Central California Transco, LLC</v>
      </c>
      <c r="G4" s="684"/>
      <c r="H4" s="684"/>
      <c r="I4" s="684"/>
      <c r="J4" s="684"/>
    </row>
    <row r="5" spans="1:10" ht="15.75">
      <c r="A5" s="753" t="s">
        <v>494</v>
      </c>
      <c r="B5" s="684"/>
      <c r="C5" s="684"/>
      <c r="D5" s="684"/>
      <c r="E5" s="684"/>
      <c r="F5" s="685"/>
      <c r="G5" s="684"/>
      <c r="H5" s="684"/>
      <c r="I5" s="684"/>
      <c r="J5" s="684"/>
    </row>
    <row r="6" spans="1:10" ht="15.75">
      <c r="A6" s="678"/>
      <c r="B6" s="686"/>
      <c r="C6" s="686"/>
      <c r="D6" s="686"/>
      <c r="E6" s="686"/>
      <c r="F6" s="686"/>
      <c r="G6" s="686"/>
      <c r="H6" s="686"/>
      <c r="I6" s="686"/>
      <c r="J6" s="712"/>
    </row>
    <row r="7" spans="1:10" ht="15.75">
      <c r="A7" s="678">
        <v>1</v>
      </c>
      <c r="B7" s="686" t="s">
        <v>369</v>
      </c>
      <c r="C7" s="686" t="s">
        <v>940</v>
      </c>
      <c r="D7" s="686"/>
      <c r="E7" s="686"/>
      <c r="F7" s="686"/>
      <c r="G7" s="686"/>
      <c r="H7" s="686"/>
      <c r="I7" s="686"/>
      <c r="J7" s="712">
        <f>+'Appendix III'!J91</f>
        <v>4610764.3120282497</v>
      </c>
    </row>
    <row r="8" spans="1:10" ht="15.75">
      <c r="A8" s="678"/>
      <c r="B8" s="686"/>
      <c r="C8" s="686"/>
      <c r="D8" s="686"/>
      <c r="E8" s="686"/>
      <c r="F8" s="686"/>
      <c r="G8" s="686"/>
      <c r="H8" s="686"/>
      <c r="I8" s="686"/>
      <c r="J8" s="712"/>
    </row>
    <row r="9" spans="1:10" ht="16.5" thickBot="1">
      <c r="A9" s="688">
        <f>+A7+1</f>
        <v>2</v>
      </c>
      <c r="B9" s="689" t="s">
        <v>370</v>
      </c>
      <c r="C9" s="690"/>
      <c r="D9" s="690"/>
      <c r="E9" s="690"/>
      <c r="F9" s="690"/>
      <c r="G9" s="690"/>
      <c r="H9" s="690"/>
      <c r="I9" s="691" t="s">
        <v>61</v>
      </c>
      <c r="J9" s="712"/>
    </row>
    <row r="10" spans="1:10" ht="15.75">
      <c r="A10" s="688"/>
      <c r="B10" s="692"/>
      <c r="C10" s="690"/>
      <c r="D10" s="690"/>
      <c r="E10" s="690"/>
      <c r="F10" s="690"/>
      <c r="G10" s="693" t="s">
        <v>67</v>
      </c>
      <c r="H10" s="690"/>
      <c r="I10" s="690"/>
      <c r="J10" s="712"/>
    </row>
    <row r="11" spans="1:10" ht="16.5" thickBot="1">
      <c r="A11" s="688"/>
      <c r="C11" s="692"/>
      <c r="D11" s="694" t="s">
        <v>61</v>
      </c>
      <c r="E11" s="694" t="s">
        <v>68</v>
      </c>
      <c r="F11" s="690"/>
      <c r="G11" s="1075" t="s">
        <v>495</v>
      </c>
      <c r="H11" s="690"/>
      <c r="I11" s="694" t="s">
        <v>69</v>
      </c>
      <c r="J11" s="712"/>
    </row>
    <row r="12" spans="1:10" ht="15.75">
      <c r="A12" s="688">
        <f>+A9+1</f>
        <v>3</v>
      </c>
      <c r="B12" s="689" t="s">
        <v>429</v>
      </c>
      <c r="C12" s="692" t="s">
        <v>941</v>
      </c>
      <c r="D12" s="698">
        <f>+'Appendix III'!E204</f>
        <v>0</v>
      </c>
      <c r="E12" s="687">
        <f>+'Appendix III'!F204</f>
        <v>0.48</v>
      </c>
      <c r="F12" s="696"/>
      <c r="G12" s="874">
        <f>+'Appendix III'!H204</f>
        <v>2.9500000000000002E-2</v>
      </c>
      <c r="H12" s="697"/>
      <c r="I12" s="861">
        <f>E12*G12</f>
        <v>1.4160000000000001E-2</v>
      </c>
      <c r="J12" s="712"/>
    </row>
    <row r="13" spans="1:10" ht="15.75">
      <c r="A13" s="688">
        <f>+A12+1</f>
        <v>4</v>
      </c>
      <c r="B13" s="689" t="s">
        <v>430</v>
      </c>
      <c r="C13" s="692" t="s">
        <v>942</v>
      </c>
      <c r="D13" s="698">
        <f>+'Appendix III'!E205</f>
        <v>0</v>
      </c>
      <c r="E13" s="687">
        <f>+'Appendix III'!F205</f>
        <v>0</v>
      </c>
      <c r="F13" s="696"/>
      <c r="G13" s="874">
        <f>+'Appendix III'!H205</f>
        <v>0</v>
      </c>
      <c r="H13" s="697"/>
      <c r="I13" s="861">
        <f>E13*G13</f>
        <v>0</v>
      </c>
      <c r="J13" s="712"/>
    </row>
    <row r="14" spans="1:10" ht="16.5" thickBot="1">
      <c r="A14" s="688">
        <f>+A13+1</f>
        <v>5</v>
      </c>
      <c r="B14" s="689" t="s">
        <v>943</v>
      </c>
      <c r="C14" s="697"/>
      <c r="D14" s="1638">
        <f>+'Appendix III'!E206</f>
        <v>6013325.7723076921</v>
      </c>
      <c r="E14" s="687">
        <f>+'Appendix III'!F206</f>
        <v>0.52</v>
      </c>
      <c r="F14" s="696"/>
      <c r="G14" s="874">
        <f>+'Appendix III'!H206+0.01</f>
        <v>0.11299999999999999</v>
      </c>
      <c r="H14" s="697"/>
      <c r="I14" s="862">
        <f>E14*G14</f>
        <v>5.876E-2</v>
      </c>
      <c r="J14" s="712"/>
    </row>
    <row r="15" spans="1:10" ht="15.75">
      <c r="A15" s="688">
        <f>+A14+1</f>
        <v>6</v>
      </c>
      <c r="B15" s="692" t="s">
        <v>456</v>
      </c>
      <c r="C15" s="697"/>
      <c r="D15" s="1639">
        <f>SUM(D12:D14)</f>
        <v>6013325.7723076921</v>
      </c>
      <c r="E15" s="690" t="s">
        <v>7</v>
      </c>
      <c r="F15" s="690"/>
      <c r="G15" s="690"/>
      <c r="H15" s="690"/>
      <c r="I15" s="861">
        <f>SUM(I12:I14)</f>
        <v>7.2919999999999999E-2</v>
      </c>
      <c r="J15" s="712"/>
    </row>
    <row r="16" spans="1:10" ht="15.75">
      <c r="A16" s="688">
        <f t="shared" ref="A16:A38" si="0">+A15+1</f>
        <v>7</v>
      </c>
      <c r="B16" s="692" t="s">
        <v>371</v>
      </c>
      <c r="C16" s="697"/>
      <c r="D16" s="698"/>
      <c r="E16" s="690"/>
      <c r="F16" s="690"/>
      <c r="G16" s="690"/>
      <c r="H16" s="690"/>
      <c r="I16" s="696"/>
      <c r="J16" s="712">
        <f>+I15*J7</f>
        <v>336216.93363309995</v>
      </c>
    </row>
    <row r="17" spans="1:12" ht="15.75">
      <c r="A17" s="688"/>
      <c r="B17" s="686"/>
      <c r="C17" s="686"/>
      <c r="D17" s="686"/>
      <c r="E17" s="686"/>
      <c r="F17" s="686"/>
      <c r="G17" s="686"/>
      <c r="H17" s="686"/>
      <c r="I17" s="686"/>
      <c r="J17" s="712"/>
    </row>
    <row r="18" spans="1:12" ht="15.75">
      <c r="A18" s="688">
        <f>+A16+1</f>
        <v>8</v>
      </c>
      <c r="B18" s="692" t="s">
        <v>52</v>
      </c>
      <c r="C18" s="699"/>
      <c r="D18" s="690"/>
      <c r="E18" s="690"/>
      <c r="F18" s="697"/>
      <c r="G18" s="700"/>
      <c r="H18" s="690"/>
      <c r="I18" s="697"/>
      <c r="J18" s="712"/>
    </row>
    <row r="19" spans="1:12" ht="15.75">
      <c r="A19" s="688">
        <f t="shared" si="0"/>
        <v>9</v>
      </c>
      <c r="B19" s="56" t="s">
        <v>53</v>
      </c>
      <c r="C19" s="11"/>
      <c r="D19" s="436">
        <f>+'Appendix III'!E143</f>
        <v>0.27983599999999997</v>
      </c>
      <c r="E19" s="690"/>
      <c r="F19" s="697"/>
      <c r="G19" s="700"/>
      <c r="H19" s="690"/>
      <c r="I19" s="697"/>
      <c r="J19" s="712"/>
    </row>
    <row r="20" spans="1:12" ht="15.75">
      <c r="A20" s="688">
        <f t="shared" si="0"/>
        <v>10</v>
      </c>
      <c r="B20" s="1" t="s">
        <v>54</v>
      </c>
      <c r="C20" s="11"/>
      <c r="D20" s="436">
        <f>IF(I15&gt;0,(D19/(1-D19))*(1-I12/I15),0)</f>
        <v>0.31311747321478484</v>
      </c>
      <c r="E20" s="690"/>
      <c r="F20" s="697"/>
      <c r="G20" s="700"/>
      <c r="H20" s="690"/>
      <c r="I20" s="697"/>
      <c r="J20" s="712"/>
    </row>
    <row r="21" spans="1:12" ht="15.75">
      <c r="A21" s="688">
        <f t="shared" si="0"/>
        <v>11</v>
      </c>
      <c r="B21" s="18" t="str">
        <f>"       where WCLTD=(line "&amp;A12&amp;") and R= (line "&amp;A15&amp;")"</f>
        <v xml:space="preserve">       where WCLTD=(line 3) and R= (line 6)</v>
      </c>
      <c r="C21" s="11"/>
      <c r="D21" s="11"/>
      <c r="E21" s="690"/>
      <c r="F21" s="697"/>
      <c r="G21" s="700"/>
      <c r="H21" s="690"/>
      <c r="I21" s="697"/>
      <c r="J21" s="712"/>
    </row>
    <row r="22" spans="1:12" ht="15.75">
      <c r="A22" s="688">
        <f t="shared" si="0"/>
        <v>12</v>
      </c>
      <c r="B22" s="18" t="str">
        <f>"       and FIT, SIT &amp; p are as given in footnote "&amp;'Appendix III'!A250&amp;" on Appendix III."</f>
        <v xml:space="preserve">       and FIT, SIT &amp; p are as given in footnote F on Appendix III.</v>
      </c>
      <c r="C22" s="11"/>
      <c r="D22" s="11"/>
      <c r="E22" s="690"/>
      <c r="F22" s="697"/>
      <c r="G22" s="700"/>
      <c r="H22" s="690"/>
      <c r="I22" s="697"/>
      <c r="J22" s="712"/>
    </row>
    <row r="23" spans="1:12" ht="15.75">
      <c r="A23" s="688">
        <f t="shared" si="0"/>
        <v>13</v>
      </c>
      <c r="B23" s="56" t="str">
        <f>"      1 / (1 - T)  = (T from line "&amp;A19&amp;")"</f>
        <v xml:space="preserve">      1 / (1 - T)  = (T from line 9)</v>
      </c>
      <c r="C23" s="11"/>
      <c r="D23" s="436">
        <f>IF(D19&gt;0,1/(1-D19),0)</f>
        <v>1.3885726029071155</v>
      </c>
      <c r="E23" s="690"/>
      <c r="F23" s="697"/>
      <c r="G23" s="700"/>
      <c r="H23" s="690"/>
      <c r="I23" s="697"/>
      <c r="J23" s="712"/>
    </row>
    <row r="24" spans="1:12" ht="15.75">
      <c r="A24" s="688">
        <f t="shared" si="0"/>
        <v>14</v>
      </c>
      <c r="B24" s="18" t="s">
        <v>55</v>
      </c>
      <c r="C24" s="11"/>
      <c r="D24" s="186">
        <f>+'Appendix III'!E148</f>
        <v>0</v>
      </c>
      <c r="E24" s="690"/>
      <c r="F24" s="697"/>
      <c r="G24" s="700"/>
      <c r="H24" s="690"/>
      <c r="I24" s="697"/>
      <c r="J24" s="712"/>
    </row>
    <row r="25" spans="1:12" ht="15.75">
      <c r="A25" s="688">
        <f t="shared" si="0"/>
        <v>15</v>
      </c>
      <c r="B25" s="18"/>
      <c r="C25" s="11"/>
      <c r="D25" s="175"/>
      <c r="E25" s="690"/>
      <c r="F25" s="697"/>
      <c r="G25" s="701"/>
      <c r="H25" s="690"/>
      <c r="I25" s="697"/>
      <c r="J25" s="712"/>
    </row>
    <row r="26" spans="1:12" ht="15.75">
      <c r="A26" s="688">
        <f t="shared" si="0"/>
        <v>16</v>
      </c>
      <c r="B26" s="56" t="str">
        <f>"Income Tax Calculation = line "&amp;A20&amp;" * line "&amp;A16&amp;""</f>
        <v>Income Tax Calculation = line 10 * line 7</v>
      </c>
      <c r="C26" s="57"/>
      <c r="D26" s="124">
        <f>+J16*D20</f>
        <v>105275.39671121926</v>
      </c>
      <c r="E26" s="690"/>
      <c r="F26" s="703"/>
      <c r="G26" s="704"/>
      <c r="H26" s="703"/>
      <c r="I26" s="175">
        <f>+J16*D20</f>
        <v>105275.39671121926</v>
      </c>
      <c r="J26" s="678"/>
    </row>
    <row r="27" spans="1:12" ht="15.75">
      <c r="A27" s="688">
        <f t="shared" si="0"/>
        <v>17</v>
      </c>
      <c r="B27" s="423" t="str">
        <f>"ITC adjustment (line "&amp;A23&amp;" * line "&amp;A24&amp;") and line 17 allocated on NP allocator"</f>
        <v>ITC adjustment (line 13 * line 14) and line 17 allocated on NP allocator</v>
      </c>
      <c r="C27" s="424"/>
      <c r="D27" s="419">
        <f>+D23*D24</f>
        <v>0</v>
      </c>
      <c r="E27" s="703"/>
      <c r="F27" s="706" t="s">
        <v>37</v>
      </c>
      <c r="G27" s="687">
        <f>+'Appendix III'!H72</f>
        <v>1</v>
      </c>
      <c r="H27" s="703"/>
      <c r="I27" s="701">
        <f>G27*D27</f>
        <v>0</v>
      </c>
      <c r="J27" s="712"/>
    </row>
    <row r="28" spans="1:12" ht="15.75">
      <c r="A28" s="688">
        <f t="shared" si="0"/>
        <v>18</v>
      </c>
      <c r="B28" s="59" t="s">
        <v>56</v>
      </c>
      <c r="C28" s="1" t="str">
        <f>"(line "&amp;A26&amp;" plus line "&amp;A27&amp;")"</f>
        <v>(line 16 plus line 17)</v>
      </c>
      <c r="D28" s="185">
        <f>+D27+D26</f>
        <v>105275.39671121926</v>
      </c>
      <c r="E28" s="703"/>
      <c r="J28" s="712">
        <f>+I27+I26</f>
        <v>105275.39671121926</v>
      </c>
    </row>
    <row r="29" spans="1:12" ht="15.75">
      <c r="A29" s="688"/>
      <c r="B29" s="695"/>
      <c r="C29" s="702"/>
      <c r="D29" s="705"/>
      <c r="E29" s="703"/>
      <c r="F29" s="706"/>
      <c r="G29" s="687"/>
      <c r="H29" s="703"/>
      <c r="I29" s="705"/>
      <c r="J29" s="712"/>
    </row>
    <row r="30" spans="1:12" ht="15.75">
      <c r="A30" s="688"/>
      <c r="B30" s="686"/>
      <c r="C30" s="686"/>
      <c r="D30" s="686"/>
      <c r="E30" s="686"/>
      <c r="F30" s="686"/>
      <c r="G30" s="686"/>
      <c r="H30" s="686"/>
      <c r="I30" s="686"/>
      <c r="J30" s="712"/>
      <c r="K30" s="686"/>
      <c r="L30" s="686"/>
    </row>
    <row r="31" spans="1:12" ht="15.75">
      <c r="A31" s="688">
        <f>+A28+1</f>
        <v>19</v>
      </c>
      <c r="B31" s="695" t="s">
        <v>372</v>
      </c>
      <c r="C31" s="686"/>
      <c r="D31" s="686"/>
      <c r="E31" s="686" t="s">
        <v>453</v>
      </c>
      <c r="F31" s="686"/>
      <c r="G31" s="686"/>
      <c r="H31" s="686"/>
      <c r="I31" s="686"/>
      <c r="J31" s="712">
        <f>+J28+J16</f>
        <v>441492.33034431923</v>
      </c>
      <c r="K31" s="686"/>
      <c r="L31" s="686"/>
    </row>
    <row r="32" spans="1:12" ht="15.75">
      <c r="A32" s="835"/>
      <c r="B32" s="686"/>
      <c r="C32" s="686"/>
      <c r="D32" s="686"/>
      <c r="E32" s="686"/>
      <c r="F32" s="686"/>
      <c r="G32" s="686"/>
      <c r="H32" s="686"/>
      <c r="I32" s="686"/>
      <c r="J32" s="712"/>
      <c r="K32" s="686"/>
      <c r="L32" s="686"/>
    </row>
    <row r="33" spans="1:12" ht="15.75">
      <c r="A33" s="835">
        <f>+A31+1</f>
        <v>20</v>
      </c>
      <c r="B33" s="686" t="str">
        <f>"Return    (Appendix III line "&amp;'Appendix III'!A157&amp;" col 5)"</f>
        <v>Return    (Appendix III line 64 col 5)</v>
      </c>
      <c r="C33" s="686"/>
      <c r="D33" s="686"/>
      <c r="E33" s="686"/>
      <c r="F33" s="686"/>
      <c r="G33" s="686"/>
      <c r="H33" s="686"/>
      <c r="I33" s="686"/>
      <c r="J33" s="712">
        <f>+'Appendix III'!J157</f>
        <v>312240.95921055309</v>
      </c>
      <c r="K33" s="686"/>
      <c r="L33" s="686"/>
    </row>
    <row r="34" spans="1:12" ht="15.75">
      <c r="A34" s="835">
        <f t="shared" si="0"/>
        <v>21</v>
      </c>
      <c r="B34" s="686" t="str">
        <f>"Income Tax    (Appendix III line "&amp;'Appendix III'!A154&amp;" col 5)"</f>
        <v>Income Tax    (Appendix III line 62 col 5)</v>
      </c>
      <c r="C34" s="686"/>
      <c r="D34" s="686"/>
      <c r="E34" s="686"/>
      <c r="F34" s="686"/>
      <c r="G34" s="686"/>
      <c r="H34" s="686"/>
      <c r="I34" s="686"/>
      <c r="J34" s="712">
        <f>+'Appendix III'!J154</f>
        <v>95958.989922615801</v>
      </c>
      <c r="K34" s="686"/>
      <c r="L34" s="686"/>
    </row>
    <row r="35" spans="1:12" ht="15.75">
      <c r="A35" s="835">
        <f t="shared" si="0"/>
        <v>22</v>
      </c>
      <c r="B35" s="695" t="s">
        <v>373</v>
      </c>
      <c r="C35" s="686"/>
      <c r="D35" s="686"/>
      <c r="E35" s="686" t="s">
        <v>419</v>
      </c>
      <c r="F35" s="686"/>
      <c r="G35" s="686"/>
      <c r="H35" s="686"/>
      <c r="I35" s="686"/>
      <c r="J35" s="1327">
        <f>+J33+J34</f>
        <v>408199.94913316891</v>
      </c>
      <c r="K35" s="686"/>
      <c r="L35" s="686"/>
    </row>
    <row r="36" spans="1:12" ht="15.75">
      <c r="A36" s="835">
        <f t="shared" si="0"/>
        <v>23</v>
      </c>
      <c r="B36" s="695" t="s">
        <v>374</v>
      </c>
      <c r="C36" s="686"/>
      <c r="D36" s="686"/>
      <c r="E36" s="686" t="s">
        <v>420</v>
      </c>
      <c r="F36" s="686"/>
      <c r="G36" s="686"/>
      <c r="H36" s="686"/>
      <c r="I36" s="686"/>
      <c r="J36" s="712">
        <f>+J31-J35</f>
        <v>33292.381211150321</v>
      </c>
      <c r="K36" s="686"/>
      <c r="L36" s="686"/>
    </row>
    <row r="37" spans="1:12" ht="15.75">
      <c r="A37" s="835">
        <f t="shared" si="0"/>
        <v>24</v>
      </c>
      <c r="B37" s="686" t="s">
        <v>394</v>
      </c>
      <c r="C37" s="686"/>
      <c r="D37" s="686"/>
      <c r="E37" s="686" t="str">
        <f>"Appendix III, line "&amp;'Appendix III'!A$216&amp;"a"</f>
        <v>Appendix III, line 88a</v>
      </c>
      <c r="F37" s="686"/>
      <c r="G37" s="686"/>
      <c r="H37" s="686"/>
      <c r="I37" s="686"/>
      <c r="J37" s="712">
        <f>+'Appendix III'!H216</f>
        <v>6770302.1642105263</v>
      </c>
      <c r="K37" s="686"/>
      <c r="L37" s="686"/>
    </row>
    <row r="38" spans="1:12" ht="15.75">
      <c r="A38" s="835">
        <f t="shared" si="0"/>
        <v>25</v>
      </c>
      <c r="B38" s="686" t="s">
        <v>386</v>
      </c>
      <c r="C38" s="686"/>
      <c r="D38" s="686"/>
      <c r="E38" s="686" t="s">
        <v>464</v>
      </c>
      <c r="F38" s="686"/>
      <c r="G38" s="686"/>
      <c r="H38" s="686"/>
      <c r="I38" s="686"/>
      <c r="J38" s="712">
        <f>IF(J37=0,0,J36/J37)</f>
        <v>4.9174143788060145E-3</v>
      </c>
      <c r="K38" s="686"/>
      <c r="L38" s="686"/>
    </row>
    <row r="39" spans="1:12" ht="15.75">
      <c r="A39" s="686"/>
      <c r="B39" s="686"/>
      <c r="C39" s="686"/>
      <c r="D39" s="686"/>
      <c r="E39" s="686"/>
      <c r="F39" s="686"/>
      <c r="G39" s="686"/>
      <c r="H39" s="686"/>
      <c r="I39" s="686"/>
      <c r="J39" s="712"/>
      <c r="K39" s="686"/>
      <c r="L39" s="686"/>
    </row>
    <row r="40" spans="1:12" ht="15.75">
      <c r="A40" s="123" t="s">
        <v>751</v>
      </c>
      <c r="B40" s="686"/>
      <c r="C40" s="686"/>
      <c r="D40" s="686"/>
      <c r="E40" s="686"/>
      <c r="F40" s="686"/>
      <c r="G40" s="686"/>
      <c r="H40" s="686"/>
      <c r="I40" s="686"/>
      <c r="J40" s="686"/>
      <c r="K40" s="686"/>
      <c r="L40" s="686"/>
    </row>
    <row r="41" spans="1:12" ht="15.75">
      <c r="A41" s="123" t="s">
        <v>749</v>
      </c>
      <c r="B41" s="686"/>
      <c r="C41" s="686"/>
      <c r="D41" s="686"/>
      <c r="E41" s="686"/>
      <c r="F41" s="686"/>
      <c r="G41" s="686"/>
      <c r="H41" s="686"/>
      <c r="I41" s="686"/>
      <c r="J41" s="686"/>
      <c r="K41" s="686"/>
      <c r="L41" s="686"/>
    </row>
    <row r="42" spans="1:12" ht="15.75">
      <c r="A42" s="123" t="s">
        <v>750</v>
      </c>
      <c r="B42" s="686"/>
      <c r="C42" s="686"/>
      <c r="D42" s="686"/>
      <c r="E42" s="686"/>
      <c r="F42" s="686"/>
      <c r="G42" s="686"/>
      <c r="H42" s="686"/>
      <c r="I42" s="686"/>
      <c r="J42" s="686"/>
      <c r="K42" s="686"/>
      <c r="L42" s="686"/>
    </row>
    <row r="43" spans="1:12" ht="15.75">
      <c r="A43" s="123"/>
      <c r="B43" s="686"/>
      <c r="C43" s="686"/>
      <c r="D43" s="686"/>
      <c r="E43" s="686"/>
      <c r="F43" s="686"/>
      <c r="G43" s="686"/>
      <c r="H43" s="686"/>
      <c r="I43" s="686"/>
      <c r="J43" s="686"/>
      <c r="K43" s="686"/>
      <c r="L43" s="686"/>
    </row>
    <row r="44" spans="1:12" ht="15.75">
      <c r="A44" s="1073"/>
      <c r="B44" s="686" t="s">
        <v>597</v>
      </c>
    </row>
    <row r="45" spans="1:12" ht="15.75">
      <c r="A45" s="1073"/>
      <c r="B45" s="967" t="s">
        <v>598</v>
      </c>
      <c r="C45" s="968" t="s">
        <v>457</v>
      </c>
    </row>
    <row r="46" spans="1:12">
      <c r="A46" s="1073"/>
      <c r="B46" s="969"/>
      <c r="C46" s="969"/>
    </row>
    <row r="47" spans="1:12">
      <c r="A47" s="1073"/>
      <c r="B47" s="969"/>
      <c r="C47" s="969"/>
    </row>
    <row r="48" spans="1:12">
      <c r="A48" s="1073"/>
      <c r="B48" s="969"/>
      <c r="C48" s="969"/>
    </row>
    <row r="49" spans="1:1">
      <c r="A49" s="1073"/>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L238"/>
  <sheetViews>
    <sheetView view="pageBreakPreview" zoomScale="85" zoomScaleNormal="75" zoomScaleSheetLayoutView="85" workbookViewId="0">
      <selection activeCell="F32" sqref="F32"/>
    </sheetView>
  </sheetViews>
  <sheetFormatPr defaultColWidth="8.88671875" defaultRowHeight="12.75"/>
  <cols>
    <col min="1" max="1" width="8.88671875" style="121"/>
    <col min="2" max="2" width="33.44140625" style="123" customWidth="1"/>
    <col min="3" max="3" width="10.5546875" style="119" customWidth="1"/>
    <col min="4" max="4" width="12.6640625" style="121" customWidth="1"/>
    <col min="5" max="5" width="14.77734375" style="121" bestFit="1" customWidth="1"/>
    <col min="6" max="6" width="12.886718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88671875" style="119"/>
  </cols>
  <sheetData>
    <row r="1" spans="1:12">
      <c r="A1" s="772"/>
      <c r="B1" s="773"/>
      <c r="C1" s="774"/>
      <c r="D1" s="772"/>
      <c r="E1" s="772"/>
      <c r="F1" s="774"/>
      <c r="G1" s="774"/>
      <c r="H1" s="774"/>
      <c r="I1" s="774"/>
      <c r="J1" s="774"/>
      <c r="K1" s="774"/>
    </row>
    <row r="2" spans="1:12" ht="18.75">
      <c r="A2" s="811" t="s">
        <v>286</v>
      </c>
      <c r="B2" s="811"/>
      <c r="C2" s="811"/>
      <c r="D2" s="811"/>
      <c r="E2" s="811"/>
      <c r="F2" s="811"/>
      <c r="G2" s="811"/>
      <c r="H2" s="811"/>
      <c r="I2" s="811"/>
      <c r="J2" s="811"/>
      <c r="K2" s="774"/>
    </row>
    <row r="3" spans="1:12" ht="18.75">
      <c r="A3" s="811" t="str">
        <f>'Appendix III'!$E$8</f>
        <v>MidAmerican Central California Transco, LLC</v>
      </c>
      <c r="B3" s="811"/>
      <c r="C3" s="811"/>
      <c r="D3" s="811"/>
      <c r="E3" s="811"/>
      <c r="F3" s="811"/>
      <c r="G3" s="811"/>
      <c r="H3" s="811"/>
      <c r="I3" s="811"/>
      <c r="J3" s="811"/>
      <c r="K3" s="774"/>
    </row>
    <row r="4" spans="1:12">
      <c r="A4" s="772"/>
      <c r="B4" s="773"/>
      <c r="C4" s="774"/>
      <c r="D4" s="772"/>
      <c r="E4" s="772"/>
      <c r="F4" s="774"/>
      <c r="G4" s="774"/>
      <c r="H4" s="775"/>
      <c r="I4" s="775"/>
      <c r="J4" s="772"/>
      <c r="K4" s="774"/>
    </row>
    <row r="5" spans="1:12" ht="15.75">
      <c r="A5" s="836">
        <v>1</v>
      </c>
      <c r="B5" s="713" t="s">
        <v>953</v>
      </c>
      <c r="C5" s="729"/>
      <c r="D5" s="713"/>
      <c r="E5" s="713"/>
      <c r="F5" s="734"/>
      <c r="G5" s="730" t="s">
        <v>759</v>
      </c>
      <c r="I5" s="730"/>
      <c r="J5" s="731">
        <f>+'Appendix III'!J159</f>
        <v>2503279.3232539222</v>
      </c>
      <c r="K5" s="774"/>
    </row>
    <row r="6" spans="1:12" ht="15.75">
      <c r="A6" s="836">
        <v>2</v>
      </c>
      <c r="B6" s="713" t="s">
        <v>427</v>
      </c>
      <c r="C6" s="729"/>
      <c r="D6" s="713"/>
      <c r="E6" s="713"/>
      <c r="F6" s="734"/>
      <c r="G6" s="732" t="s">
        <v>1033</v>
      </c>
      <c r="I6" s="730"/>
      <c r="J6" s="731">
        <f>+'Appendix III'!E127+'Appendix III'!E129+'2a - Cost Support'!E140*'2a - Cost Support'!E141</f>
        <v>1933869.1915789482</v>
      </c>
      <c r="K6" s="774"/>
    </row>
    <row r="7" spans="1:12" ht="15.75">
      <c r="A7" s="836">
        <v>3</v>
      </c>
      <c r="B7" s="713" t="s">
        <v>389</v>
      </c>
      <c r="C7" s="729"/>
      <c r="D7" s="713"/>
      <c r="E7" s="713"/>
      <c r="F7" s="734"/>
      <c r="G7" s="733" t="s">
        <v>461</v>
      </c>
      <c r="I7" s="730"/>
      <c r="J7" s="731">
        <f>+J5-J6</f>
        <v>569410.13167497399</v>
      </c>
      <c r="K7" s="774"/>
    </row>
    <row r="8" spans="1:12" ht="15.75">
      <c r="A8" s="836">
        <v>4</v>
      </c>
      <c r="B8" s="686" t="s">
        <v>520</v>
      </c>
      <c r="C8" s="729"/>
      <c r="D8" s="713"/>
      <c r="E8" s="713"/>
      <c r="F8" s="734"/>
      <c r="G8" s="733" t="str">
        <f>"(Appendix III, line "&amp;'Appendix III'!A216&amp;" (a))"</f>
        <v>(Appendix III, line 88 (a))</v>
      </c>
      <c r="I8" s="732"/>
      <c r="J8" s="731">
        <f>+'Appendix III'!H216</f>
        <v>6770302.1642105263</v>
      </c>
      <c r="K8" s="774"/>
    </row>
    <row r="9" spans="1:12" ht="15.75">
      <c r="A9" s="836">
        <v>5</v>
      </c>
      <c r="B9" s="714" t="s">
        <v>383</v>
      </c>
      <c r="C9" s="729"/>
      <c r="E9" s="713"/>
      <c r="F9" s="734"/>
      <c r="G9" s="713" t="s">
        <v>460</v>
      </c>
      <c r="I9" s="845"/>
      <c r="J9" s="845">
        <f>IF(J8=0,0,J7/J8)</f>
        <v>8.410409430246929E-2</v>
      </c>
      <c r="K9" s="774"/>
    </row>
    <row r="10" spans="1:12" ht="15.75">
      <c r="A10" s="836">
        <v>6</v>
      </c>
      <c r="B10" s="686" t="s">
        <v>386</v>
      </c>
      <c r="C10" s="729"/>
      <c r="D10" s="860"/>
      <c r="E10" s="713"/>
      <c r="F10" s="734"/>
      <c r="G10" s="713" t="s">
        <v>492</v>
      </c>
      <c r="I10" s="846"/>
      <c r="J10" s="846">
        <f>+'3 - Incentives'!J38</f>
        <v>4.9174143788060145E-3</v>
      </c>
      <c r="K10" s="774"/>
    </row>
    <row r="11" spans="1:12" ht="15.75">
      <c r="A11" s="836"/>
      <c r="B11" s="773"/>
      <c r="C11" s="776"/>
      <c r="D11" s="772"/>
      <c r="E11" s="772"/>
      <c r="F11" s="774"/>
      <c r="G11" s="774"/>
      <c r="H11" s="774"/>
      <c r="I11" s="774"/>
      <c r="J11" s="774"/>
      <c r="K11" s="774"/>
    </row>
    <row r="12" spans="1:12">
      <c r="A12" s="836"/>
      <c r="B12" s="773"/>
      <c r="C12" s="777"/>
      <c r="D12" s="772"/>
      <c r="E12" s="772"/>
      <c r="F12" s="774"/>
      <c r="G12" s="774"/>
      <c r="H12" s="774"/>
      <c r="I12" s="774"/>
      <c r="J12" s="774"/>
      <c r="K12" s="774"/>
    </row>
    <row r="13" spans="1:12">
      <c r="A13" s="836"/>
      <c r="B13" s="773"/>
      <c r="C13" s="777"/>
      <c r="D13" s="772"/>
      <c r="E13" s="772"/>
      <c r="F13" s="774"/>
      <c r="G13" s="774"/>
      <c r="H13" s="774"/>
      <c r="I13" s="774"/>
      <c r="J13" s="774"/>
      <c r="K13" s="774"/>
    </row>
    <row r="14" spans="1:12">
      <c r="A14" s="836"/>
      <c r="B14" s="773"/>
      <c r="C14" s="774"/>
      <c r="D14" s="772"/>
      <c r="E14" s="772"/>
      <c r="F14" s="774"/>
      <c r="G14" s="774"/>
      <c r="H14" s="774"/>
      <c r="I14" s="774"/>
      <c r="J14" s="774"/>
      <c r="K14" s="774"/>
    </row>
    <row r="15" spans="1:12">
      <c r="A15" s="836"/>
      <c r="B15" s="778" t="s">
        <v>397</v>
      </c>
      <c r="C15" s="778" t="s">
        <v>398</v>
      </c>
      <c r="D15" s="778" t="s">
        <v>399</v>
      </c>
      <c r="E15" s="778" t="s">
        <v>400</v>
      </c>
      <c r="F15" s="778" t="s">
        <v>401</v>
      </c>
      <c r="G15" s="778" t="s">
        <v>402</v>
      </c>
      <c r="H15" s="778" t="s">
        <v>403</v>
      </c>
      <c r="I15" s="778" t="s">
        <v>404</v>
      </c>
      <c r="J15" s="778" t="s">
        <v>405</v>
      </c>
      <c r="K15" s="778" t="s">
        <v>493</v>
      </c>
      <c r="L15" s="724"/>
    </row>
    <row r="16" spans="1:12">
      <c r="A16" s="836"/>
      <c r="B16" s="773"/>
      <c r="C16" s="774"/>
      <c r="D16" s="772"/>
      <c r="E16" s="772"/>
      <c r="F16" s="774"/>
      <c r="G16" s="849"/>
      <c r="H16" s="850"/>
      <c r="I16" s="850"/>
      <c r="J16" s="851"/>
      <c r="K16" s="851"/>
    </row>
    <row r="17" spans="1:12" ht="51">
      <c r="A17" s="837"/>
      <c r="B17" s="779" t="s">
        <v>497</v>
      </c>
      <c r="C17" s="780" t="s">
        <v>384</v>
      </c>
      <c r="D17" s="781" t="s">
        <v>381</v>
      </c>
      <c r="E17" s="781" t="s">
        <v>390</v>
      </c>
      <c r="F17" s="781" t="s">
        <v>406</v>
      </c>
      <c r="G17" s="1706" t="s">
        <v>417</v>
      </c>
      <c r="H17" s="1707"/>
      <c r="I17" s="1708"/>
      <c r="J17" s="782" t="s">
        <v>418</v>
      </c>
      <c r="K17" s="782" t="s">
        <v>523</v>
      </c>
    </row>
    <row r="18" spans="1:12" ht="40.5" customHeight="1">
      <c r="A18" s="837"/>
      <c r="B18" s="783"/>
      <c r="C18" s="784"/>
      <c r="D18" s="784" t="s">
        <v>521</v>
      </c>
      <c r="E18" s="784" t="s">
        <v>382</v>
      </c>
      <c r="F18" s="784" t="s">
        <v>135</v>
      </c>
      <c r="G18" s="785" t="s">
        <v>421</v>
      </c>
      <c r="H18" s="786" t="s">
        <v>424</v>
      </c>
      <c r="I18" s="787" t="s">
        <v>271</v>
      </c>
      <c r="J18" s="787" t="s">
        <v>271</v>
      </c>
      <c r="K18" s="787" t="s">
        <v>524</v>
      </c>
    </row>
    <row r="19" spans="1:12">
      <c r="A19" s="837"/>
      <c r="B19" s="788"/>
      <c r="C19" s="789"/>
      <c r="D19" s="789"/>
      <c r="E19" s="789"/>
      <c r="F19" s="789"/>
      <c r="G19" s="790"/>
      <c r="H19" s="791"/>
      <c r="I19" s="792" t="s">
        <v>422</v>
      </c>
      <c r="J19" s="792" t="s">
        <v>423</v>
      </c>
      <c r="K19" s="792"/>
    </row>
    <row r="20" spans="1:12">
      <c r="A20" s="837"/>
      <c r="B20" s="788"/>
      <c r="C20" s="789"/>
      <c r="D20" s="789"/>
      <c r="E20" s="789"/>
      <c r="F20" s="789"/>
      <c r="G20" s="790"/>
      <c r="H20" s="791"/>
      <c r="I20" s="793"/>
      <c r="J20" s="793"/>
      <c r="K20" s="793"/>
    </row>
    <row r="21" spans="1:12" ht="25.5">
      <c r="A21" s="836" t="s">
        <v>407</v>
      </c>
      <c r="B21" s="1505" t="s">
        <v>1090</v>
      </c>
      <c r="C21" s="794"/>
      <c r="D21" s="795"/>
      <c r="E21" s="844">
        <f>$J$9</f>
        <v>8.410409430246929E-2</v>
      </c>
      <c r="F21" s="847">
        <f t="shared" ref="F21:F29" si="0">+J$10*D21/100+E21</f>
        <v>8.410409430246929E-2</v>
      </c>
      <c r="G21" s="802">
        <f>'11 - Reg. Assets and Abnd Plnt'!AD7</f>
        <v>1727955.7683846154</v>
      </c>
      <c r="H21" s="797">
        <f>'11 - Reg. Assets and Abnd Plnt'!P7</f>
        <v>493817.69400000002</v>
      </c>
      <c r="I21" s="800">
        <f t="shared" ref="I21:I29" si="1">+E21*G21+H21</f>
        <v>639145.84889471554</v>
      </c>
      <c r="J21" s="798">
        <f>+F21*G21+H21</f>
        <v>639145.84889471554</v>
      </c>
      <c r="K21" s="798">
        <f t="shared" ref="K21:K29" si="2">+J21-I21</f>
        <v>0</v>
      </c>
      <c r="L21" s="812"/>
    </row>
    <row r="22" spans="1:12" ht="25.5">
      <c r="A22" s="836" t="s">
        <v>408</v>
      </c>
      <c r="B22" s="1505" t="s">
        <v>1091</v>
      </c>
      <c r="C22" s="799"/>
      <c r="D22" s="795">
        <v>-50</v>
      </c>
      <c r="E22" s="844">
        <f t="shared" ref="E22:E24" si="3">$J$9</f>
        <v>8.410409430246929E-2</v>
      </c>
      <c r="F22" s="847">
        <f t="shared" si="0"/>
        <v>8.1645387113066278E-2</v>
      </c>
      <c r="G22" s="796">
        <f>'11 - Reg. Assets and Abnd Plnt'!AD8</f>
        <v>5042233.6652631573</v>
      </c>
      <c r="H22" s="795">
        <f>'11 - Reg. Assets and Abnd Plnt'!P8</f>
        <v>1440638.1894736844</v>
      </c>
      <c r="I22" s="800">
        <f t="shared" si="1"/>
        <v>1864710.6851520624</v>
      </c>
      <c r="J22" s="798">
        <f>+F22*G22+H22</f>
        <v>1852313.3089886298</v>
      </c>
      <c r="K22" s="798">
        <f t="shared" si="2"/>
        <v>-12397.376163432607</v>
      </c>
    </row>
    <row r="23" spans="1:12">
      <c r="A23" s="836" t="s">
        <v>409</v>
      </c>
      <c r="B23" s="1505" t="s">
        <v>1092</v>
      </c>
      <c r="C23" s="799"/>
      <c r="D23" s="795">
        <v>0</v>
      </c>
      <c r="E23" s="844">
        <f t="shared" si="3"/>
        <v>8.410409430246929E-2</v>
      </c>
      <c r="F23" s="814">
        <f t="shared" si="0"/>
        <v>8.410409430246929E-2</v>
      </c>
      <c r="G23" s="802">
        <v>0</v>
      </c>
      <c r="H23" s="799">
        <v>0</v>
      </c>
      <c r="I23" s="800">
        <f t="shared" si="1"/>
        <v>0</v>
      </c>
      <c r="J23" s="798">
        <f t="shared" ref="J23:J29" si="4">+F23*G23+H23</f>
        <v>0</v>
      </c>
      <c r="K23" s="798">
        <f t="shared" si="2"/>
        <v>0</v>
      </c>
      <c r="L23" s="812"/>
    </row>
    <row r="24" spans="1:12">
      <c r="A24" s="836" t="s">
        <v>410</v>
      </c>
      <c r="B24" s="1505" t="s">
        <v>1093</v>
      </c>
      <c r="C24" s="799"/>
      <c r="D24" s="795">
        <v>0</v>
      </c>
      <c r="E24" s="844">
        <f t="shared" si="3"/>
        <v>8.410409430246929E-2</v>
      </c>
      <c r="F24" s="814">
        <f t="shared" si="0"/>
        <v>8.410409430246929E-2</v>
      </c>
      <c r="G24" s="802">
        <v>0</v>
      </c>
      <c r="H24" s="799">
        <v>0</v>
      </c>
      <c r="I24" s="800">
        <f t="shared" si="1"/>
        <v>0</v>
      </c>
      <c r="J24" s="798">
        <f t="shared" si="4"/>
        <v>0</v>
      </c>
      <c r="K24" s="798">
        <f t="shared" si="2"/>
        <v>0</v>
      </c>
      <c r="L24" s="812"/>
    </row>
    <row r="25" spans="1:12">
      <c r="A25" s="836" t="s">
        <v>411</v>
      </c>
      <c r="B25" s="803"/>
      <c r="C25" s="799"/>
      <c r="D25" s="799"/>
      <c r="E25" s="801"/>
      <c r="F25" s="814">
        <f t="shared" si="0"/>
        <v>0</v>
      </c>
      <c r="G25" s="802">
        <v>0</v>
      </c>
      <c r="H25" s="799">
        <v>0</v>
      </c>
      <c r="I25" s="800">
        <f t="shared" si="1"/>
        <v>0</v>
      </c>
      <c r="J25" s="798">
        <f t="shared" si="4"/>
        <v>0</v>
      </c>
      <c r="K25" s="798">
        <f t="shared" si="2"/>
        <v>0</v>
      </c>
      <c r="L25" s="812"/>
    </row>
    <row r="26" spans="1:12">
      <c r="A26" s="836" t="s">
        <v>412</v>
      </c>
      <c r="B26" s="803"/>
      <c r="C26" s="799"/>
      <c r="D26" s="799"/>
      <c r="E26" s="799"/>
      <c r="F26" s="814">
        <f t="shared" si="0"/>
        <v>0</v>
      </c>
      <c r="G26" s="804">
        <v>0</v>
      </c>
      <c r="H26" s="799">
        <v>0</v>
      </c>
      <c r="I26" s="800">
        <f t="shared" si="1"/>
        <v>0</v>
      </c>
      <c r="J26" s="798">
        <f t="shared" si="4"/>
        <v>0</v>
      </c>
      <c r="K26" s="798">
        <f t="shared" si="2"/>
        <v>0</v>
      </c>
    </row>
    <row r="27" spans="1:12">
      <c r="A27" s="836" t="s">
        <v>413</v>
      </c>
      <c r="B27" s="803"/>
      <c r="C27" s="799"/>
      <c r="D27" s="799"/>
      <c r="E27" s="799"/>
      <c r="F27" s="814">
        <f t="shared" si="0"/>
        <v>0</v>
      </c>
      <c r="G27" s="804">
        <v>0</v>
      </c>
      <c r="H27" s="799">
        <v>0</v>
      </c>
      <c r="I27" s="800">
        <f t="shared" si="1"/>
        <v>0</v>
      </c>
      <c r="J27" s="798">
        <f t="shared" si="4"/>
        <v>0</v>
      </c>
      <c r="K27" s="798">
        <f t="shared" si="2"/>
        <v>0</v>
      </c>
    </row>
    <row r="28" spans="1:12">
      <c r="A28" s="836" t="s">
        <v>414</v>
      </c>
      <c r="B28" s="803"/>
      <c r="C28" s="799"/>
      <c r="D28" s="799"/>
      <c r="E28" s="799"/>
      <c r="F28" s="814">
        <f t="shared" si="0"/>
        <v>0</v>
      </c>
      <c r="G28" s="804">
        <v>0</v>
      </c>
      <c r="H28" s="799">
        <v>0</v>
      </c>
      <c r="I28" s="800">
        <f t="shared" si="1"/>
        <v>0</v>
      </c>
      <c r="J28" s="798">
        <f t="shared" si="4"/>
        <v>0</v>
      </c>
      <c r="K28" s="798">
        <f t="shared" si="2"/>
        <v>0</v>
      </c>
    </row>
    <row r="29" spans="1:12">
      <c r="A29" s="836" t="s">
        <v>415</v>
      </c>
      <c r="B29" s="803"/>
      <c r="C29" s="799"/>
      <c r="D29" s="799"/>
      <c r="E29" s="799"/>
      <c r="F29" s="814">
        <f t="shared" si="0"/>
        <v>0</v>
      </c>
      <c r="G29" s="804">
        <v>0</v>
      </c>
      <c r="H29" s="799">
        <v>0</v>
      </c>
      <c r="I29" s="800">
        <f t="shared" si="1"/>
        <v>0</v>
      </c>
      <c r="J29" s="798">
        <f t="shared" si="4"/>
        <v>0</v>
      </c>
      <c r="K29" s="798">
        <f t="shared" si="2"/>
        <v>0</v>
      </c>
    </row>
    <row r="30" spans="1:12">
      <c r="A30" s="836">
        <v>8</v>
      </c>
      <c r="B30" s="805" t="s">
        <v>20</v>
      </c>
      <c r="C30" s="774"/>
      <c r="D30" s="772"/>
      <c r="E30" s="772"/>
      <c r="F30" s="774"/>
      <c r="G30" s="806">
        <f>SUM(G21:G29)</f>
        <v>6770189.4336477723</v>
      </c>
      <c r="H30" s="807">
        <f>SUM(H21:H29)</f>
        <v>1934455.8834736845</v>
      </c>
      <c r="I30" s="808">
        <f>SUM(I21:I29)</f>
        <v>2503856.534046778</v>
      </c>
      <c r="J30" s="809">
        <f>SUM(J21:J29)</f>
        <v>2491459.1578833451</v>
      </c>
      <c r="K30" s="809">
        <f>SUM(K21:K29)</f>
        <v>-12397.376163432607</v>
      </c>
      <c r="L30" s="848"/>
    </row>
    <row r="31" spans="1:12" ht="23.25" customHeight="1">
      <c r="A31" s="836">
        <v>9</v>
      </c>
      <c r="B31" s="773" t="s">
        <v>1027</v>
      </c>
      <c r="C31" s="774"/>
      <c r="D31" s="772"/>
      <c r="E31" s="772"/>
      <c r="F31" s="774"/>
      <c r="G31" s="810" t="s">
        <v>425</v>
      </c>
      <c r="H31" s="810" t="s">
        <v>463</v>
      </c>
      <c r="I31" s="810" t="s">
        <v>462</v>
      </c>
      <c r="J31" s="810" t="s">
        <v>426</v>
      </c>
      <c r="K31" s="810" t="s">
        <v>938</v>
      </c>
      <c r="L31" s="848"/>
    </row>
    <row r="32" spans="1:12">
      <c r="A32" s="836"/>
      <c r="B32" s="773"/>
      <c r="C32" s="774"/>
      <c r="D32" s="772"/>
      <c r="E32" s="772"/>
      <c r="F32" s="774"/>
      <c r="G32" s="774"/>
      <c r="H32" s="774"/>
      <c r="I32" s="774"/>
      <c r="J32" s="774"/>
      <c r="K32" s="774"/>
    </row>
    <row r="33" spans="1:11">
      <c r="A33" s="772"/>
      <c r="B33" s="773"/>
      <c r="C33" s="774"/>
      <c r="D33" s="772"/>
      <c r="E33" s="772"/>
      <c r="F33" s="774"/>
      <c r="G33" s="774"/>
      <c r="H33" s="774"/>
      <c r="I33" s="774"/>
      <c r="J33" s="774"/>
      <c r="K33" s="774"/>
    </row>
    <row r="34" spans="1:11">
      <c r="A34" s="773" t="s">
        <v>416</v>
      </c>
      <c r="B34" s="773"/>
      <c r="C34" s="774"/>
      <c r="D34" s="772"/>
      <c r="E34" s="772"/>
      <c r="F34" s="774"/>
      <c r="G34" s="774"/>
      <c r="H34" s="774"/>
      <c r="I34" s="774"/>
      <c r="J34" s="774"/>
      <c r="K34" s="774"/>
    </row>
    <row r="35" spans="1:11">
      <c r="A35" s="773" t="s">
        <v>483</v>
      </c>
      <c r="B35" s="773"/>
      <c r="C35" s="774"/>
      <c r="D35" s="772"/>
      <c r="E35" s="772"/>
      <c r="F35" s="774"/>
      <c r="G35" s="774"/>
      <c r="H35" s="774"/>
      <c r="I35" s="774"/>
      <c r="J35" s="774"/>
      <c r="K35" s="774"/>
    </row>
    <row r="36" spans="1:11">
      <c r="A36" s="123" t="s">
        <v>522</v>
      </c>
    </row>
    <row r="37" spans="1:11" ht="15.75">
      <c r="A37" s="1158"/>
      <c r="B37" s="686" t="s">
        <v>597</v>
      </c>
      <c r="C37"/>
      <c r="I37" s="726"/>
      <c r="J37" s="726"/>
    </row>
    <row r="38" spans="1:11" ht="15.75">
      <c r="A38" s="1158"/>
      <c r="B38" s="967" t="s">
        <v>598</v>
      </c>
      <c r="C38" s="1710" t="s">
        <v>457</v>
      </c>
      <c r="D38" s="1710"/>
    </row>
    <row r="39" spans="1:11" ht="15">
      <c r="A39" s="1158"/>
      <c r="B39" s="969" t="s">
        <v>1094</v>
      </c>
      <c r="C39" s="1709" t="s">
        <v>1095</v>
      </c>
      <c r="D39" s="1709"/>
    </row>
    <row r="40" spans="1:11" ht="15">
      <c r="A40" s="1158"/>
      <c r="B40" s="969"/>
      <c r="C40" s="1709"/>
      <c r="D40" s="1709"/>
    </row>
    <row r="41" spans="1:11" ht="15">
      <c r="A41" s="1158"/>
      <c r="B41" s="969"/>
      <c r="C41" s="1709"/>
      <c r="D41" s="1709"/>
    </row>
    <row r="42" spans="1:11">
      <c r="A42" s="974" t="s">
        <v>619</v>
      </c>
      <c r="B42" s="973"/>
      <c r="C42" s="973"/>
    </row>
    <row r="47" spans="1:11">
      <c r="I47" s="725">
        <f>+'Appendix III'!J159</f>
        <v>2503279.3232539222</v>
      </c>
      <c r="J47" s="848">
        <f>+'Appendix III'!J163</f>
        <v>2490881.9470904898</v>
      </c>
      <c r="K47" s="848">
        <f>+'Appendix III'!J161</f>
        <v>-12397.376163432607</v>
      </c>
    </row>
    <row r="78" spans="3:4">
      <c r="C78" s="368" t="s">
        <v>7</v>
      </c>
      <c r="D78" s="164"/>
    </row>
    <row r="228" spans="1:8">
      <c r="H228" s="867"/>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M188"/>
  <sheetViews>
    <sheetView view="pageBreakPreview" topLeftCell="A51" zoomScaleNormal="100" zoomScaleSheetLayoutView="100" workbookViewId="0">
      <selection activeCell="I46" sqref="I46"/>
    </sheetView>
  </sheetViews>
  <sheetFormatPr defaultColWidth="8.88671875" defaultRowHeight="12.75"/>
  <cols>
    <col min="1" max="1" width="5.44140625" style="1068" customWidth="1"/>
    <col min="2" max="2" width="21.44140625" style="1067" customWidth="1"/>
    <col min="3" max="3" width="12.109375" style="1067" bestFit="1" customWidth="1"/>
    <col min="4" max="4" width="12.109375" style="1067" customWidth="1"/>
    <col min="5" max="5" width="11" style="1067" customWidth="1"/>
    <col min="6" max="6" width="13.44140625" style="1067" customWidth="1"/>
    <col min="7" max="7" width="14.109375" style="1067" customWidth="1"/>
    <col min="8" max="8" width="12.33203125" style="1067" customWidth="1"/>
    <col min="9" max="9" width="14.109375" style="1067" customWidth="1"/>
    <col min="10" max="10" width="24.33203125" style="1067" customWidth="1"/>
    <col min="11" max="11" width="7.21875" style="1067" customWidth="1"/>
    <col min="12" max="12" width="12.21875" style="1067" customWidth="1"/>
    <col min="13" max="13" width="8.109375" style="1067" customWidth="1"/>
    <col min="14" max="14" width="7.6640625" style="1067" bestFit="1" customWidth="1"/>
    <col min="15" max="15" width="11.6640625" style="1067" bestFit="1" customWidth="1"/>
    <col min="16" max="16" width="10.88671875" style="1067" bestFit="1" customWidth="1"/>
    <col min="17" max="16384" width="8.88671875" style="1067"/>
  </cols>
  <sheetData>
    <row r="1" spans="1:11" s="975" customFormat="1" ht="15" customHeight="1">
      <c r="A1" s="1715" t="s">
        <v>655</v>
      </c>
      <c r="B1" s="1715"/>
      <c r="C1" s="1715"/>
      <c r="D1" s="1715"/>
      <c r="E1" s="1715"/>
      <c r="F1" s="1715"/>
      <c r="G1" s="1715"/>
      <c r="H1" s="1715"/>
      <c r="I1" s="1715"/>
      <c r="J1" s="1715"/>
    </row>
    <row r="2" spans="1:11" s="975" customFormat="1">
      <c r="A2" s="1715" t="s">
        <v>620</v>
      </c>
      <c r="B2" s="1715"/>
      <c r="C2" s="1715"/>
      <c r="D2" s="1715"/>
      <c r="E2" s="1715"/>
      <c r="F2" s="1715"/>
      <c r="G2" s="1715"/>
      <c r="H2" s="1715"/>
      <c r="I2" s="1715"/>
      <c r="J2" s="1715"/>
    </row>
    <row r="3" spans="1:11" s="975" customFormat="1" ht="15" customHeight="1">
      <c r="A3" s="1716" t="str">
        <f>+'Appendix III'!E8</f>
        <v>MidAmerican Central California Transco, LLC</v>
      </c>
      <c r="B3" s="1716"/>
      <c r="C3" s="1716"/>
      <c r="D3" s="1716"/>
      <c r="E3" s="1716"/>
      <c r="F3" s="1716"/>
      <c r="G3" s="1716"/>
      <c r="H3" s="1716"/>
      <c r="I3" s="1716"/>
      <c r="J3" s="1716"/>
      <c r="K3" s="976"/>
    </row>
    <row r="4" spans="1:11" s="975" customFormat="1">
      <c r="A4" s="977"/>
      <c r="K4" s="976"/>
    </row>
    <row r="5" spans="1:11" s="975" customFormat="1">
      <c r="A5" s="978"/>
      <c r="B5" s="976"/>
      <c r="C5" s="976"/>
      <c r="D5" s="976"/>
      <c r="E5" s="976"/>
      <c r="F5" s="979"/>
      <c r="G5" s="976"/>
      <c r="H5" s="976"/>
      <c r="I5" s="976"/>
      <c r="J5" s="976"/>
      <c r="K5" s="976"/>
    </row>
    <row r="6" spans="1:11" s="975" customFormat="1">
      <c r="A6" s="978"/>
      <c r="B6" s="976"/>
      <c r="C6" s="976"/>
      <c r="D6" s="976"/>
      <c r="E6" s="1717"/>
      <c r="F6" s="1717"/>
      <c r="G6" s="1717"/>
      <c r="H6" s="976"/>
      <c r="I6" s="976"/>
      <c r="J6" s="976"/>
      <c r="K6" s="976"/>
    </row>
    <row r="7" spans="1:11" s="975" customFormat="1">
      <c r="A7" s="978"/>
      <c r="B7" s="976"/>
      <c r="C7" s="976"/>
      <c r="D7" s="976"/>
      <c r="E7" s="976"/>
      <c r="F7" s="979"/>
      <c r="G7" s="976"/>
      <c r="H7" s="976"/>
      <c r="I7" s="976"/>
      <c r="J7" s="976"/>
      <c r="K7" s="976"/>
    </row>
    <row r="8" spans="1:11" s="975" customFormat="1">
      <c r="A8" s="978"/>
      <c r="B8" s="976" t="s">
        <v>621</v>
      </c>
      <c r="C8" s="976"/>
      <c r="D8" s="976"/>
      <c r="E8" s="976"/>
      <c r="F8" s="979"/>
      <c r="G8" s="976"/>
      <c r="H8" s="976"/>
      <c r="I8" s="976"/>
      <c r="J8" s="976"/>
      <c r="K8" s="976"/>
    </row>
    <row r="9" spans="1:11" s="975" customFormat="1">
      <c r="A9" s="978"/>
      <c r="B9" s="976" t="s">
        <v>290</v>
      </c>
      <c r="C9" s="976"/>
      <c r="D9" s="976"/>
      <c r="E9" s="976"/>
      <c r="F9" s="979"/>
      <c r="G9" s="976"/>
      <c r="H9" s="976"/>
      <c r="I9" s="976"/>
      <c r="J9" s="976"/>
      <c r="K9" s="976"/>
    </row>
    <row r="10" spans="1:11" s="975" customFormat="1">
      <c r="A10" s="978"/>
      <c r="B10" s="976" t="s">
        <v>291</v>
      </c>
      <c r="C10" s="976"/>
      <c r="D10" s="976"/>
      <c r="E10" s="976"/>
      <c r="F10" s="979"/>
      <c r="G10" s="976"/>
      <c r="H10" s="976"/>
      <c r="I10" s="976"/>
      <c r="J10" s="976"/>
      <c r="K10" s="976"/>
    </row>
    <row r="11" spans="1:11" s="975" customFormat="1" ht="39" customHeight="1">
      <c r="A11" s="978"/>
      <c r="B11" s="1712" t="s">
        <v>692</v>
      </c>
      <c r="C11" s="1712"/>
      <c r="D11" s="1712"/>
      <c r="E11" s="1712"/>
      <c r="F11" s="1712"/>
      <c r="G11" s="976"/>
      <c r="H11" s="976"/>
      <c r="I11" s="976"/>
      <c r="J11" s="976"/>
      <c r="K11" s="976"/>
    </row>
    <row r="12" spans="1:11" s="975" customFormat="1" ht="24" customHeight="1">
      <c r="A12" s="978"/>
      <c r="B12" s="1086"/>
      <c r="C12" s="1086"/>
      <c r="D12" s="1086"/>
      <c r="E12" s="1086"/>
      <c r="F12" s="1086"/>
      <c r="G12" s="976"/>
      <c r="H12" s="976"/>
      <c r="I12" s="976"/>
      <c r="J12" s="976"/>
      <c r="K12" s="976"/>
    </row>
    <row r="13" spans="1:11" s="975" customFormat="1" ht="13.5" thickBot="1">
      <c r="A13" s="980"/>
      <c r="B13" s="976" t="s">
        <v>622</v>
      </c>
      <c r="C13" s="976"/>
      <c r="D13" s="976"/>
      <c r="E13" s="976"/>
      <c r="F13" s="976"/>
      <c r="G13" s="976"/>
      <c r="H13" s="976"/>
      <c r="I13" s="976"/>
      <c r="J13" s="976"/>
      <c r="K13" s="976"/>
    </row>
    <row r="14" spans="1:11" s="975" customFormat="1">
      <c r="A14" s="980"/>
      <c r="B14" s="981"/>
      <c r="C14" s="982"/>
      <c r="D14" s="982"/>
      <c r="E14" s="982"/>
      <c r="F14" s="983"/>
      <c r="G14" s="976"/>
      <c r="H14" s="976"/>
      <c r="I14" s="976"/>
      <c r="J14" s="976"/>
      <c r="K14" s="976"/>
    </row>
    <row r="15" spans="1:11" s="975" customFormat="1" ht="13.5" thickBot="1">
      <c r="A15" s="980">
        <v>1</v>
      </c>
      <c r="B15" s="984" t="s">
        <v>200</v>
      </c>
      <c r="C15" s="985"/>
      <c r="D15" s="985"/>
      <c r="E15" s="985"/>
      <c r="F15" s="986">
        <v>0</v>
      </c>
      <c r="G15" s="976"/>
      <c r="H15" s="1718"/>
      <c r="I15" s="1718"/>
      <c r="J15" s="976"/>
      <c r="K15" s="976"/>
    </row>
    <row r="16" spans="1:11" s="975" customFormat="1" ht="13.5" thickBot="1">
      <c r="A16" s="980"/>
      <c r="B16" s="976" t="s">
        <v>623</v>
      </c>
      <c r="D16" s="976"/>
      <c r="E16" s="976"/>
      <c r="F16" s="987"/>
      <c r="G16" s="976"/>
      <c r="H16" s="988"/>
      <c r="I16" s="989"/>
      <c r="J16" s="976"/>
      <c r="K16" s="976"/>
    </row>
    <row r="17" spans="1:12" s="975" customFormat="1">
      <c r="A17" s="980">
        <v>2</v>
      </c>
      <c r="B17" s="981" t="s">
        <v>624</v>
      </c>
      <c r="C17" s="982"/>
      <c r="D17" s="982"/>
      <c r="E17" s="982"/>
      <c r="F17" s="990" t="e">
        <f>ROUND(XIRR(J58:J74,B58:B74,0.08),4)</f>
        <v>#NUM!</v>
      </c>
      <c r="G17" s="991"/>
      <c r="H17" s="992"/>
      <c r="I17" s="992"/>
      <c r="J17" s="976"/>
      <c r="K17" s="976"/>
    </row>
    <row r="18" spans="1:12" s="975" customFormat="1">
      <c r="A18" s="980">
        <f>+A17+1</f>
        <v>3</v>
      </c>
      <c r="B18" s="993" t="s">
        <v>625</v>
      </c>
      <c r="C18" s="976"/>
      <c r="D18" s="976"/>
      <c r="E18" s="976"/>
      <c r="F18" s="994"/>
      <c r="G18" s="976"/>
      <c r="H18" s="992"/>
      <c r="I18" s="992"/>
      <c r="J18" s="995"/>
    </row>
    <row r="19" spans="1:12" s="975" customFormat="1">
      <c r="A19" s="980">
        <f t="shared" ref="A19:A81" si="0">+A18+1</f>
        <v>4</v>
      </c>
      <c r="B19" s="993"/>
      <c r="C19" s="976"/>
      <c r="D19" s="976"/>
      <c r="E19" s="976"/>
      <c r="F19" s="996"/>
      <c r="G19" s="976"/>
      <c r="H19" s="992"/>
      <c r="I19" s="992"/>
      <c r="J19" s="995"/>
    </row>
    <row r="20" spans="1:12" s="975" customFormat="1">
      <c r="A20" s="980">
        <f t="shared" si="0"/>
        <v>5</v>
      </c>
      <c r="B20" s="993"/>
      <c r="C20" s="976"/>
      <c r="D20" s="976"/>
      <c r="E20" s="976"/>
      <c r="F20" s="996"/>
      <c r="G20" s="976"/>
      <c r="H20" s="976"/>
      <c r="I20" s="976"/>
      <c r="J20" s="976"/>
      <c r="K20" s="997"/>
    </row>
    <row r="21" spans="1:12" s="975" customFormat="1">
      <c r="A21" s="980">
        <f t="shared" si="0"/>
        <v>6</v>
      </c>
      <c r="B21" s="993" t="s">
        <v>201</v>
      </c>
      <c r="C21" s="998"/>
      <c r="D21" s="976"/>
      <c r="E21" s="976"/>
      <c r="F21" s="996"/>
      <c r="G21" s="976"/>
      <c r="H21" s="976"/>
      <c r="J21" s="999"/>
      <c r="K21" s="976"/>
    </row>
    <row r="22" spans="1:12" s="975" customFormat="1">
      <c r="A22" s="980">
        <f t="shared" si="0"/>
        <v>7</v>
      </c>
      <c r="B22" s="993"/>
      <c r="C22" s="998"/>
      <c r="D22" s="976"/>
      <c r="E22" s="976"/>
      <c r="F22" s="996"/>
      <c r="G22" s="976"/>
      <c r="H22" s="976"/>
      <c r="I22" s="976"/>
      <c r="J22" s="976"/>
      <c r="K22" s="976"/>
    </row>
    <row r="23" spans="1:12" s="975" customFormat="1" ht="19.5" customHeight="1" thickBot="1">
      <c r="A23" s="980">
        <f t="shared" si="0"/>
        <v>8</v>
      </c>
      <c r="B23" s="984"/>
      <c r="C23" s="1000"/>
      <c r="D23" s="985"/>
      <c r="E23" s="985"/>
      <c r="F23" s="1001"/>
      <c r="G23" s="976"/>
      <c r="H23" s="976"/>
      <c r="I23" s="976"/>
      <c r="J23" s="976"/>
      <c r="K23" s="976"/>
    </row>
    <row r="24" spans="1:12" s="975" customFormat="1">
      <c r="A24" s="980"/>
      <c r="B24" s="1002"/>
      <c r="D24" s="976"/>
      <c r="E24" s="976"/>
      <c r="F24" s="1003"/>
      <c r="G24" s="976"/>
      <c r="H24" s="976"/>
      <c r="I24" s="976"/>
      <c r="J24" s="976"/>
      <c r="K24" s="976"/>
    </row>
    <row r="25" spans="1:12" s="975" customFormat="1" ht="13.5" thickBot="1">
      <c r="A25" s="980"/>
      <c r="B25" s="976" t="s">
        <v>626</v>
      </c>
      <c r="D25" s="976"/>
      <c r="E25" s="976"/>
      <c r="F25" s="999"/>
      <c r="G25" s="976"/>
      <c r="H25" s="976"/>
      <c r="I25" s="976"/>
      <c r="J25" s="976"/>
      <c r="K25" s="976"/>
    </row>
    <row r="26" spans="1:12" s="975" customFormat="1">
      <c r="A26" s="980">
        <f>+A23+1</f>
        <v>9</v>
      </c>
      <c r="B26" s="1004"/>
      <c r="C26" s="982"/>
      <c r="D26" s="982"/>
      <c r="E26" s="982"/>
      <c r="F26" s="1005"/>
      <c r="G26" s="976"/>
      <c r="H26" s="976"/>
      <c r="I26" s="976"/>
      <c r="J26" s="976"/>
      <c r="K26" s="976"/>
    </row>
    <row r="27" spans="1:12" s="975" customFormat="1">
      <c r="A27" s="980">
        <f t="shared" si="0"/>
        <v>10</v>
      </c>
      <c r="B27" s="993" t="s">
        <v>202</v>
      </c>
      <c r="C27" s="976"/>
      <c r="D27" s="976"/>
      <c r="E27" s="998" t="s">
        <v>627</v>
      </c>
      <c r="F27" s="1006" t="s">
        <v>17</v>
      </c>
      <c r="G27" s="976"/>
      <c r="H27" s="976"/>
      <c r="I27" s="976"/>
      <c r="J27" s="976"/>
      <c r="K27" s="976"/>
    </row>
    <row r="28" spans="1:12" s="975" customFormat="1">
      <c r="A28" s="980">
        <f t="shared" si="0"/>
        <v>11</v>
      </c>
      <c r="B28" s="1007" t="s">
        <v>203</v>
      </c>
      <c r="C28" s="1008"/>
      <c r="D28" s="1008"/>
      <c r="E28" s="1009">
        <v>0</v>
      </c>
      <c r="F28" s="1010">
        <v>0</v>
      </c>
      <c r="G28" s="1713"/>
      <c r="H28" s="1714"/>
      <c r="I28" s="1714"/>
      <c r="J28" s="1011"/>
      <c r="K28" s="976"/>
    </row>
    <row r="29" spans="1:12" s="975" customFormat="1">
      <c r="A29" s="980">
        <f t="shared" si="0"/>
        <v>12</v>
      </c>
      <c r="B29" s="1007" t="s">
        <v>244</v>
      </c>
      <c r="C29" s="1008"/>
      <c r="D29" s="1008"/>
      <c r="E29" s="1009">
        <v>0</v>
      </c>
      <c r="F29" s="1010">
        <v>0</v>
      </c>
      <c r="G29" s="980"/>
      <c r="H29" s="1012"/>
      <c r="I29" s="1012"/>
      <c r="J29" s="976"/>
      <c r="K29" s="976"/>
      <c r="L29" s="1013"/>
    </row>
    <row r="30" spans="1:12" s="975" customFormat="1">
      <c r="A30" s="980">
        <f t="shared" si="0"/>
        <v>13</v>
      </c>
      <c r="B30" s="1007" t="s">
        <v>243</v>
      </c>
      <c r="C30" s="1008"/>
      <c r="D30" s="1008"/>
      <c r="E30" s="1481">
        <v>0</v>
      </c>
      <c r="F30" s="1010">
        <v>0</v>
      </c>
      <c r="G30" s="1480"/>
      <c r="H30" s="1012"/>
      <c r="I30" s="1012"/>
      <c r="J30" s="1014"/>
      <c r="K30" s="976"/>
    </row>
    <row r="31" spans="1:12" s="975" customFormat="1">
      <c r="A31" s="980">
        <f t="shared" si="0"/>
        <v>14</v>
      </c>
      <c r="B31" s="1007" t="s">
        <v>242</v>
      </c>
      <c r="C31" s="1008"/>
      <c r="D31" s="1008"/>
      <c r="E31" s="1015">
        <v>0</v>
      </c>
      <c r="F31" s="1016">
        <v>0</v>
      </c>
      <c r="G31" s="980"/>
      <c r="H31" s="976"/>
      <c r="I31" s="976"/>
      <c r="J31" s="976"/>
      <c r="K31" s="976"/>
    </row>
    <row r="32" spans="1:12" s="975" customFormat="1">
      <c r="A32" s="980">
        <f t="shared" si="0"/>
        <v>15</v>
      </c>
      <c r="B32" s="1007" t="s">
        <v>241</v>
      </c>
      <c r="C32" s="1015"/>
      <c r="D32" s="1008"/>
      <c r="E32" s="797">
        <v>0</v>
      </c>
      <c r="F32" s="1016">
        <v>0</v>
      </c>
      <c r="G32" s="980"/>
      <c r="I32" s="1012"/>
      <c r="J32" s="976"/>
      <c r="K32" s="976"/>
    </row>
    <row r="33" spans="1:11" s="975" customFormat="1">
      <c r="A33" s="980" t="s">
        <v>628</v>
      </c>
      <c r="B33" s="1007"/>
      <c r="C33" s="1015"/>
      <c r="D33" s="1008"/>
      <c r="E33" s="1017">
        <v>0</v>
      </c>
      <c r="F33" s="1018">
        <v>0</v>
      </c>
      <c r="G33" s="980"/>
      <c r="I33" s="1012"/>
      <c r="J33" s="976"/>
      <c r="K33" s="976"/>
    </row>
    <row r="34" spans="1:11" s="975" customFormat="1" ht="13.5" thickBot="1">
      <c r="A34" s="980">
        <f>+A32+1</f>
        <v>16</v>
      </c>
      <c r="B34" s="1019" t="s">
        <v>204</v>
      </c>
      <c r="C34" s="1020"/>
      <c r="D34" s="976"/>
      <c r="E34" s="1021"/>
      <c r="F34" s="1022">
        <f>SUM(F29:F32)</f>
        <v>0</v>
      </c>
      <c r="G34" s="980"/>
      <c r="H34" s="976"/>
      <c r="I34" s="976"/>
      <c r="J34" s="976"/>
      <c r="K34" s="976"/>
    </row>
    <row r="35" spans="1:11" s="975" customFormat="1" ht="14.25" thickTop="1" thickBot="1">
      <c r="A35" s="980"/>
      <c r="B35" s="1023"/>
      <c r="C35" s="1024"/>
      <c r="D35" s="985"/>
      <c r="E35" s="985"/>
      <c r="F35" s="1025"/>
      <c r="G35" s="980"/>
      <c r="H35" s="976"/>
      <c r="I35" s="976"/>
      <c r="J35" s="1011"/>
      <c r="K35" s="976"/>
    </row>
    <row r="36" spans="1:11" s="975" customFormat="1">
      <c r="A36" s="980">
        <f>+A34+1</f>
        <v>17</v>
      </c>
      <c r="B36" s="1026"/>
      <c r="C36" s="1027"/>
      <c r="D36" s="1028"/>
      <c r="E36" s="1028"/>
      <c r="F36" s="1029"/>
      <c r="G36" s="980"/>
      <c r="H36" s="976"/>
      <c r="I36" s="976"/>
      <c r="J36" s="1030"/>
      <c r="K36" s="976"/>
    </row>
    <row r="37" spans="1:11" s="975" customFormat="1">
      <c r="A37" s="980">
        <f t="shared" si="0"/>
        <v>18</v>
      </c>
      <c r="B37" s="1007" t="s">
        <v>251</v>
      </c>
      <c r="C37" s="1015"/>
      <c r="D37" s="1008"/>
      <c r="E37" s="1031">
        <v>0</v>
      </c>
      <c r="F37" s="1016">
        <v>0</v>
      </c>
      <c r="G37" s="980"/>
      <c r="H37" s="976"/>
      <c r="I37" s="976"/>
      <c r="J37" s="1030"/>
      <c r="K37" s="976"/>
    </row>
    <row r="38" spans="1:11" s="975" customFormat="1">
      <c r="A38" s="980">
        <f t="shared" si="0"/>
        <v>19</v>
      </c>
      <c r="B38" s="1007" t="s">
        <v>252</v>
      </c>
      <c r="C38" s="1015"/>
      <c r="D38" s="1008"/>
      <c r="E38" s="1017">
        <v>0</v>
      </c>
      <c r="F38" s="1032">
        <v>0</v>
      </c>
      <c r="G38" s="980"/>
      <c r="H38" s="976"/>
      <c r="I38" s="976"/>
      <c r="J38" s="1030"/>
      <c r="K38" s="976"/>
    </row>
    <row r="39" spans="1:11" s="975" customFormat="1">
      <c r="A39" s="980">
        <v>21</v>
      </c>
      <c r="B39" s="1007" t="s">
        <v>240</v>
      </c>
      <c r="C39" s="1015"/>
      <c r="D39" s="1008"/>
      <c r="E39" s="1033"/>
      <c r="F39" s="1034"/>
      <c r="G39" s="980"/>
      <c r="H39" s="976"/>
      <c r="I39" s="976"/>
      <c r="J39" s="1030"/>
      <c r="K39" s="976"/>
    </row>
    <row r="40" spans="1:11" s="975" customFormat="1" ht="13.5" thickBot="1">
      <c r="A40" s="980" t="s">
        <v>689</v>
      </c>
      <c r="B40" s="1035"/>
      <c r="C40" s="1036"/>
      <c r="D40" s="1037"/>
      <c r="E40" s="1038"/>
      <c r="F40" s="1039"/>
      <c r="G40" s="980"/>
      <c r="H40" s="1040"/>
      <c r="I40" s="1012"/>
      <c r="K40" s="976"/>
    </row>
    <row r="41" spans="1:11" s="975" customFormat="1">
      <c r="A41" s="980"/>
      <c r="B41" s="1002"/>
      <c r="C41" s="979"/>
      <c r="D41" s="976"/>
      <c r="E41" s="1041"/>
      <c r="F41" s="979"/>
      <c r="G41" s="980"/>
      <c r="H41" s="976"/>
      <c r="I41" s="976"/>
      <c r="J41" s="976"/>
      <c r="K41" s="976"/>
    </row>
    <row r="42" spans="1:11" s="975" customFormat="1" ht="13.5" thickBot="1">
      <c r="A42" s="980"/>
      <c r="B42" s="976" t="s">
        <v>629</v>
      </c>
      <c r="C42" s="979"/>
      <c r="D42" s="976"/>
      <c r="E42" s="976"/>
      <c r="F42" s="976"/>
      <c r="G42" s="976"/>
      <c r="H42" s="976"/>
      <c r="I42" s="976"/>
      <c r="J42" s="976"/>
      <c r="K42" s="976"/>
    </row>
    <row r="43" spans="1:11" s="975" customFormat="1" ht="13.5" thickBot="1">
      <c r="A43" s="980">
        <v>22</v>
      </c>
      <c r="B43" s="1042"/>
      <c r="C43" s="1043">
        <v>2014</v>
      </c>
      <c r="D43" s="1043">
        <f t="shared" ref="D43:I43" si="1">+C43+1</f>
        <v>2015</v>
      </c>
      <c r="E43" s="1043">
        <f t="shared" si="1"/>
        <v>2016</v>
      </c>
      <c r="F43" s="1043">
        <f t="shared" si="1"/>
        <v>2017</v>
      </c>
      <c r="G43" s="1043">
        <f t="shared" si="1"/>
        <v>2018</v>
      </c>
      <c r="H43" s="1043">
        <f t="shared" si="1"/>
        <v>2019</v>
      </c>
      <c r="I43" s="1043">
        <f t="shared" si="1"/>
        <v>2020</v>
      </c>
    </row>
    <row r="44" spans="1:11" s="975" customFormat="1" ht="13.5" thickBot="1">
      <c r="A44" s="980">
        <f t="shared" si="0"/>
        <v>23</v>
      </c>
      <c r="B44" s="1023" t="s">
        <v>239</v>
      </c>
      <c r="C44" s="1476">
        <v>1.56E-3</v>
      </c>
      <c r="D44" s="1477"/>
      <c r="E44" s="1477"/>
      <c r="F44" s="1477"/>
      <c r="G44" s="1500"/>
      <c r="H44" s="1477">
        <v>2.1507999999999999E-2</v>
      </c>
      <c r="I44" s="1477">
        <v>4.4999999999999997E-3</v>
      </c>
    </row>
    <row r="45" spans="1:11" s="975" customFormat="1" ht="13.5" thickBot="1">
      <c r="A45" s="980">
        <f t="shared" si="0"/>
        <v>24</v>
      </c>
      <c r="B45" s="1023" t="s">
        <v>238</v>
      </c>
      <c r="C45" s="1476">
        <v>2.5000000000000001E-2</v>
      </c>
      <c r="D45" s="1477"/>
      <c r="E45" s="1477"/>
      <c r="F45" s="1477"/>
      <c r="G45" s="1500"/>
      <c r="H45" s="1477">
        <v>2.5000000000000001E-2</v>
      </c>
      <c r="I45" s="1477">
        <v>2.5000000000000001E-2</v>
      </c>
    </row>
    <row r="46" spans="1:11" s="975" customFormat="1" ht="13.5" thickBot="1">
      <c r="A46" s="980">
        <f t="shared" si="0"/>
        <v>25</v>
      </c>
      <c r="B46" s="984" t="s">
        <v>205</v>
      </c>
      <c r="C46" s="1478">
        <f>SUM(C44:C45)</f>
        <v>2.656E-2</v>
      </c>
      <c r="D46" s="1479"/>
      <c r="E46" s="1479"/>
      <c r="F46" s="1479"/>
      <c r="G46" s="1501"/>
      <c r="H46" s="1479">
        <f t="shared" ref="H46:I46" si="2">SUM(H44:H45)</f>
        <v>4.6508000000000001E-2</v>
      </c>
      <c r="I46" s="1479">
        <f t="shared" si="2"/>
        <v>2.9500000000000002E-2</v>
      </c>
    </row>
    <row r="47" spans="1:11" s="975" customFormat="1">
      <c r="A47" s="980"/>
    </row>
    <row r="48" spans="1:11" s="975" customFormat="1" ht="13.5" thickBot="1">
      <c r="A48" s="980"/>
      <c r="B48" s="975" t="s">
        <v>630</v>
      </c>
    </row>
    <row r="49" spans="1:12" s="975" customFormat="1">
      <c r="A49" s="980">
        <f>+A46+1</f>
        <v>26</v>
      </c>
      <c r="B49" s="1044" t="s">
        <v>132</v>
      </c>
      <c r="C49" s="1045" t="s">
        <v>131</v>
      </c>
      <c r="D49" s="1045" t="s">
        <v>206</v>
      </c>
      <c r="E49" s="1045" t="s">
        <v>207</v>
      </c>
      <c r="F49" s="1045" t="s">
        <v>208</v>
      </c>
      <c r="G49" s="1045" t="s">
        <v>209</v>
      </c>
      <c r="H49" s="1045" t="s">
        <v>210</v>
      </c>
      <c r="I49" s="1045" t="s">
        <v>211</v>
      </c>
      <c r="J49" s="1046" t="s">
        <v>212</v>
      </c>
    </row>
    <row r="50" spans="1:12" s="975" customFormat="1" ht="51" customHeight="1">
      <c r="A50" s="980">
        <f t="shared" si="0"/>
        <v>27</v>
      </c>
      <c r="B50" s="1047" t="s">
        <v>134</v>
      </c>
      <c r="C50" s="998"/>
      <c r="D50" s="1048" t="s">
        <v>631</v>
      </c>
      <c r="E50" s="1048" t="s">
        <v>632</v>
      </c>
      <c r="F50" s="1048" t="s">
        <v>633</v>
      </c>
      <c r="G50" s="1048" t="s">
        <v>634</v>
      </c>
      <c r="H50" s="1048" t="s">
        <v>213</v>
      </c>
      <c r="I50" s="1048" t="s">
        <v>635</v>
      </c>
      <c r="J50" s="1049" t="s">
        <v>214</v>
      </c>
    </row>
    <row r="51" spans="1:12" s="975" customFormat="1" ht="27.75" customHeight="1" thickBot="1">
      <c r="A51" s="980">
        <f t="shared" si="0"/>
        <v>28</v>
      </c>
      <c r="B51" s="1050"/>
      <c r="C51" s="1000"/>
      <c r="D51" s="1051" t="s">
        <v>636</v>
      </c>
      <c r="E51" s="1051" t="s">
        <v>636</v>
      </c>
      <c r="F51" s="1051" t="s">
        <v>637</v>
      </c>
      <c r="G51" s="1051" t="s">
        <v>638</v>
      </c>
      <c r="H51" s="1051" t="s">
        <v>639</v>
      </c>
      <c r="I51" s="1051" t="s">
        <v>691</v>
      </c>
      <c r="J51" s="1052" t="s">
        <v>215</v>
      </c>
    </row>
    <row r="52" spans="1:12" s="975" customFormat="1">
      <c r="A52" s="980">
        <f t="shared" si="0"/>
        <v>29</v>
      </c>
      <c r="B52" s="1044"/>
      <c r="C52" s="1045"/>
      <c r="D52" s="982"/>
      <c r="E52" s="982"/>
      <c r="F52" s="982"/>
      <c r="G52" s="982"/>
      <c r="H52" s="982"/>
      <c r="I52" s="982"/>
      <c r="J52" s="983"/>
    </row>
    <row r="53" spans="1:12" s="975" customFormat="1">
      <c r="A53" s="980">
        <f t="shared" si="0"/>
        <v>30</v>
      </c>
      <c r="B53" s="1053">
        <v>42005</v>
      </c>
      <c r="C53" s="1054"/>
      <c r="D53" s="1055">
        <v>0</v>
      </c>
      <c r="E53" s="1008"/>
      <c r="F53" s="976"/>
      <c r="G53" s="976"/>
      <c r="H53" s="976"/>
      <c r="I53" s="976"/>
      <c r="J53" s="1056"/>
    </row>
    <row r="54" spans="1:12" s="975" customFormat="1">
      <c r="A54" s="980">
        <f t="shared" si="0"/>
        <v>31</v>
      </c>
      <c r="B54" s="1053">
        <v>42094</v>
      </c>
      <c r="C54" s="1057" t="s">
        <v>216</v>
      </c>
      <c r="D54" s="1055">
        <v>0</v>
      </c>
      <c r="E54" s="1015">
        <f>0.45*SUM(D53:D54)</f>
        <v>0</v>
      </c>
      <c r="F54" s="1020">
        <f>SUM($E$54:E54)</f>
        <v>0</v>
      </c>
      <c r="G54" s="1058">
        <v>0</v>
      </c>
      <c r="H54" s="1059"/>
      <c r="I54" s="1020"/>
      <c r="J54" s="1056">
        <f>E54-G54-H54-I54</f>
        <v>0</v>
      </c>
    </row>
    <row r="55" spans="1:12" s="975" customFormat="1">
      <c r="A55" s="980">
        <f t="shared" si="0"/>
        <v>32</v>
      </c>
      <c r="B55" s="1053">
        <v>42185</v>
      </c>
      <c r="C55" s="1057" t="s">
        <v>217</v>
      </c>
      <c r="D55" s="1055">
        <v>0</v>
      </c>
      <c r="E55" s="1015">
        <f>0.45*SUM(D55)</f>
        <v>0</v>
      </c>
      <c r="F55" s="1020">
        <f>SUM($E$54:E55)</f>
        <v>0</v>
      </c>
      <c r="G55" s="1020">
        <f>F54*SUMIF($C$43:$I$43,YEAR(B54),$C$46:$I$46)*((B55-B54)/365)</f>
        <v>0</v>
      </c>
      <c r="H55" s="1020"/>
      <c r="I55" s="1020"/>
      <c r="J55" s="1056">
        <f>E55-G55-H55-I55</f>
        <v>0</v>
      </c>
      <c r="L55" s="1060"/>
    </row>
    <row r="56" spans="1:12" s="975" customFormat="1">
      <c r="A56" s="980">
        <f t="shared" si="0"/>
        <v>33</v>
      </c>
      <c r="B56" s="1053">
        <v>42277</v>
      </c>
      <c r="C56" s="1057" t="s">
        <v>218</v>
      </c>
      <c r="D56" s="1055">
        <v>0</v>
      </c>
      <c r="E56" s="1015">
        <f t="shared" ref="E56:E74" si="3">0.45*SUM(D56)</f>
        <v>0</v>
      </c>
      <c r="F56" s="1020">
        <f>SUM($E$54:E56)</f>
        <v>0</v>
      </c>
      <c r="G56" s="1020">
        <f>F55*SUMIF($C$43:$I$43,YEAR(B55),$C$46:$I$46)*((B56-B55)/365)</f>
        <v>0</v>
      </c>
      <c r="H56" s="1020"/>
      <c r="I56" s="1020"/>
      <c r="J56" s="1056">
        <f t="shared" ref="J56:J69" si="4">E56-G56-H56-I56</f>
        <v>0</v>
      </c>
      <c r="K56" s="1061"/>
      <c r="L56" s="1060"/>
    </row>
    <row r="57" spans="1:12" s="975" customFormat="1">
      <c r="A57" s="980">
        <f t="shared" si="0"/>
        <v>34</v>
      </c>
      <c r="B57" s="1053">
        <v>42369</v>
      </c>
      <c r="C57" s="1057" t="s">
        <v>219</v>
      </c>
      <c r="D57" s="1055">
        <v>0</v>
      </c>
      <c r="E57" s="1015">
        <f t="shared" si="3"/>
        <v>0</v>
      </c>
      <c r="F57" s="1020">
        <f>SUM($E$54:E57)</f>
        <v>0</v>
      </c>
      <c r="G57" s="1020">
        <f t="shared" ref="G57:G68" si="5">F56*SUMIF($C$43:$I$43,YEAR(B56),$C$46:$I$46)*((B57-B56)/365)</f>
        <v>0</v>
      </c>
      <c r="H57" s="1059"/>
      <c r="I57" s="1020"/>
      <c r="J57" s="1056">
        <f t="shared" si="4"/>
        <v>0</v>
      </c>
      <c r="K57" s="1061"/>
      <c r="L57" s="1060"/>
    </row>
    <row r="58" spans="1:12" s="975" customFormat="1">
      <c r="A58" s="980">
        <f t="shared" si="0"/>
        <v>35</v>
      </c>
      <c r="B58" s="1053">
        <v>42460</v>
      </c>
      <c r="C58" s="1057" t="s">
        <v>216</v>
      </c>
      <c r="D58" s="1055">
        <v>0</v>
      </c>
      <c r="E58" s="1015">
        <f t="shared" si="3"/>
        <v>0</v>
      </c>
      <c r="F58" s="1020">
        <f>SUM($E$54:E58)</f>
        <v>0</v>
      </c>
      <c r="G58" s="1020">
        <f t="shared" si="5"/>
        <v>0</v>
      </c>
      <c r="H58" s="1020">
        <f>F34/1000</f>
        <v>0</v>
      </c>
      <c r="I58" s="1020">
        <f>($F$15/1000-F57)*$E$39/4</f>
        <v>0</v>
      </c>
      <c r="J58" s="1056">
        <f t="shared" si="4"/>
        <v>0</v>
      </c>
      <c r="K58" s="1061"/>
      <c r="L58" s="1060"/>
    </row>
    <row r="59" spans="1:12" s="975" customFormat="1">
      <c r="A59" s="980">
        <f t="shared" si="0"/>
        <v>36</v>
      </c>
      <c r="B59" s="1053">
        <v>42551</v>
      </c>
      <c r="C59" s="1057" t="s">
        <v>217</v>
      </c>
      <c r="D59" s="1055">
        <v>0</v>
      </c>
      <c r="E59" s="1015">
        <f t="shared" si="3"/>
        <v>0</v>
      </c>
      <c r="F59" s="1020">
        <f>SUM($E$54:E59)</f>
        <v>0</v>
      </c>
      <c r="G59" s="1020">
        <f t="shared" si="5"/>
        <v>0</v>
      </c>
      <c r="H59" s="1020"/>
      <c r="I59" s="1020">
        <f>($F$15/1000-F58)*$E$39/4+$F$38/1000+$F$37/1000</f>
        <v>0</v>
      </c>
      <c r="J59" s="1056">
        <f t="shared" si="4"/>
        <v>0</v>
      </c>
      <c r="K59" s="1061"/>
      <c r="L59" s="1060"/>
    </row>
    <row r="60" spans="1:12" s="975" customFormat="1">
      <c r="A60" s="980">
        <f t="shared" si="0"/>
        <v>37</v>
      </c>
      <c r="B60" s="1053">
        <v>42643</v>
      </c>
      <c r="C60" s="1057" t="s">
        <v>218</v>
      </c>
      <c r="D60" s="1055">
        <v>0</v>
      </c>
      <c r="E60" s="1015">
        <f t="shared" si="3"/>
        <v>0</v>
      </c>
      <c r="F60" s="1020">
        <f>SUM($E$54:E60)</f>
        <v>0</v>
      </c>
      <c r="G60" s="1020">
        <f t="shared" si="5"/>
        <v>0</v>
      </c>
      <c r="H60" s="1020"/>
      <c r="I60" s="1020">
        <f t="shared" ref="I60:I74" si="6">($F$15/1000-F59)*$E$39/4+$F$38/1000+$F$37/1000</f>
        <v>0</v>
      </c>
      <c r="J60" s="1056">
        <f t="shared" si="4"/>
        <v>0</v>
      </c>
      <c r="K60" s="1061"/>
      <c r="L60" s="1060"/>
    </row>
    <row r="61" spans="1:12" s="975" customFormat="1">
      <c r="A61" s="980">
        <f t="shared" si="0"/>
        <v>38</v>
      </c>
      <c r="B61" s="1053">
        <v>42735</v>
      </c>
      <c r="C61" s="1057" t="s">
        <v>219</v>
      </c>
      <c r="D61" s="1055">
        <v>0</v>
      </c>
      <c r="E61" s="1015">
        <f t="shared" si="3"/>
        <v>0</v>
      </c>
      <c r="F61" s="1020">
        <f>SUM($E$54:E61)</f>
        <v>0</v>
      </c>
      <c r="G61" s="1020">
        <f t="shared" si="5"/>
        <v>0</v>
      </c>
      <c r="H61" s="1020"/>
      <c r="I61" s="1020">
        <f t="shared" si="6"/>
        <v>0</v>
      </c>
      <c r="J61" s="1056">
        <f t="shared" si="4"/>
        <v>0</v>
      </c>
      <c r="K61" s="1061"/>
      <c r="L61" s="1060"/>
    </row>
    <row r="62" spans="1:12" s="975" customFormat="1">
      <c r="A62" s="980">
        <f t="shared" si="0"/>
        <v>39</v>
      </c>
      <c r="B62" s="1053">
        <v>42825</v>
      </c>
      <c r="C62" s="1057" t="s">
        <v>216</v>
      </c>
      <c r="D62" s="1055">
        <v>0</v>
      </c>
      <c r="E62" s="1015">
        <f t="shared" si="3"/>
        <v>0</v>
      </c>
      <c r="F62" s="1020">
        <f>SUM($E$54:E62)</f>
        <v>0</v>
      </c>
      <c r="G62" s="1020">
        <f t="shared" si="5"/>
        <v>0</v>
      </c>
      <c r="H62" s="1020"/>
      <c r="I62" s="1020">
        <f t="shared" si="6"/>
        <v>0</v>
      </c>
      <c r="J62" s="1056">
        <f t="shared" si="4"/>
        <v>0</v>
      </c>
      <c r="K62" s="1061"/>
      <c r="L62" s="1060"/>
    </row>
    <row r="63" spans="1:12" s="975" customFormat="1">
      <c r="A63" s="980">
        <f t="shared" si="0"/>
        <v>40</v>
      </c>
      <c r="B63" s="1053">
        <v>42916</v>
      </c>
      <c r="C63" s="1057" t="s">
        <v>217</v>
      </c>
      <c r="D63" s="1055">
        <v>0</v>
      </c>
      <c r="E63" s="1015">
        <f t="shared" si="3"/>
        <v>0</v>
      </c>
      <c r="F63" s="1020">
        <f>SUM($E$54:E63)</f>
        <v>0</v>
      </c>
      <c r="G63" s="1020">
        <f t="shared" si="5"/>
        <v>0</v>
      </c>
      <c r="H63" s="1020"/>
      <c r="I63" s="1020">
        <f t="shared" si="6"/>
        <v>0</v>
      </c>
      <c r="J63" s="1056">
        <f t="shared" si="4"/>
        <v>0</v>
      </c>
      <c r="K63" s="1061"/>
      <c r="L63" s="1060"/>
    </row>
    <row r="64" spans="1:12" s="975" customFormat="1">
      <c r="A64" s="980">
        <f t="shared" si="0"/>
        <v>41</v>
      </c>
      <c r="B64" s="1053">
        <v>43008</v>
      </c>
      <c r="C64" s="1057" t="s">
        <v>218</v>
      </c>
      <c r="D64" s="1055">
        <v>0</v>
      </c>
      <c r="E64" s="1015">
        <f t="shared" si="3"/>
        <v>0</v>
      </c>
      <c r="F64" s="1020">
        <f>SUM($E$54:E64)</f>
        <v>0</v>
      </c>
      <c r="G64" s="1020">
        <f t="shared" si="5"/>
        <v>0</v>
      </c>
      <c r="H64" s="1020"/>
      <c r="I64" s="1020">
        <f t="shared" si="6"/>
        <v>0</v>
      </c>
      <c r="J64" s="1056">
        <f t="shared" si="4"/>
        <v>0</v>
      </c>
      <c r="K64" s="1061"/>
      <c r="L64" s="1060"/>
    </row>
    <row r="65" spans="1:12" s="975" customFormat="1">
      <c r="A65" s="980">
        <f t="shared" si="0"/>
        <v>42</v>
      </c>
      <c r="B65" s="1053">
        <v>43100</v>
      </c>
      <c r="C65" s="1057" t="s">
        <v>219</v>
      </c>
      <c r="D65" s="1055">
        <v>0</v>
      </c>
      <c r="E65" s="1015">
        <f t="shared" si="3"/>
        <v>0</v>
      </c>
      <c r="F65" s="1020">
        <f>SUM($E$54:E65)</f>
        <v>0</v>
      </c>
      <c r="G65" s="1020">
        <f t="shared" si="5"/>
        <v>0</v>
      </c>
      <c r="H65" s="1020"/>
      <c r="I65" s="1020">
        <f t="shared" si="6"/>
        <v>0</v>
      </c>
      <c r="J65" s="1056">
        <f t="shared" si="4"/>
        <v>0</v>
      </c>
      <c r="K65" s="1061"/>
      <c r="L65" s="1060"/>
    </row>
    <row r="66" spans="1:12" s="975" customFormat="1">
      <c r="A66" s="980">
        <f t="shared" si="0"/>
        <v>43</v>
      </c>
      <c r="B66" s="1053">
        <v>43190</v>
      </c>
      <c r="C66" s="1057" t="s">
        <v>216</v>
      </c>
      <c r="D66" s="1055">
        <v>0</v>
      </c>
      <c r="E66" s="1015">
        <f t="shared" si="3"/>
        <v>0</v>
      </c>
      <c r="F66" s="1020">
        <f>SUM($E$54:E66)</f>
        <v>0</v>
      </c>
      <c r="G66" s="1020">
        <f t="shared" si="5"/>
        <v>0</v>
      </c>
      <c r="H66" s="1020"/>
      <c r="I66" s="1020">
        <f t="shared" si="6"/>
        <v>0</v>
      </c>
      <c r="J66" s="1056">
        <f t="shared" si="4"/>
        <v>0</v>
      </c>
      <c r="K66" s="1061"/>
      <c r="L66" s="1060"/>
    </row>
    <row r="67" spans="1:12" s="975" customFormat="1">
      <c r="A67" s="980">
        <f t="shared" si="0"/>
        <v>44</v>
      </c>
      <c r="B67" s="1053">
        <v>43281</v>
      </c>
      <c r="C67" s="1057" t="s">
        <v>217</v>
      </c>
      <c r="D67" s="1055">
        <v>0</v>
      </c>
      <c r="E67" s="1015">
        <f t="shared" si="3"/>
        <v>0</v>
      </c>
      <c r="F67" s="1020">
        <f>SUM($E$54:E67)</f>
        <v>0</v>
      </c>
      <c r="G67" s="1020">
        <f t="shared" si="5"/>
        <v>0</v>
      </c>
      <c r="H67" s="1020"/>
      <c r="I67" s="1020">
        <f t="shared" si="6"/>
        <v>0</v>
      </c>
      <c r="J67" s="1056">
        <f t="shared" si="4"/>
        <v>0</v>
      </c>
      <c r="K67" s="1061"/>
      <c r="L67" s="1060"/>
    </row>
    <row r="68" spans="1:12" s="975" customFormat="1">
      <c r="A68" s="980">
        <f t="shared" si="0"/>
        <v>45</v>
      </c>
      <c r="B68" s="1053">
        <v>43373</v>
      </c>
      <c r="C68" s="1057" t="s">
        <v>218</v>
      </c>
      <c r="D68" s="1055">
        <v>0</v>
      </c>
      <c r="E68" s="1015">
        <f t="shared" si="3"/>
        <v>0</v>
      </c>
      <c r="F68" s="1020">
        <f>SUM($E$54:E68)</f>
        <v>0</v>
      </c>
      <c r="G68" s="1020">
        <f t="shared" si="5"/>
        <v>0</v>
      </c>
      <c r="H68" s="1020"/>
      <c r="I68" s="1020">
        <f t="shared" si="6"/>
        <v>0</v>
      </c>
      <c r="J68" s="1056">
        <f t="shared" si="4"/>
        <v>0</v>
      </c>
      <c r="K68" s="1061"/>
      <c r="L68" s="1060"/>
    </row>
    <row r="69" spans="1:12" s="975" customFormat="1">
      <c r="A69" s="980">
        <f t="shared" si="0"/>
        <v>46</v>
      </c>
      <c r="B69" s="1053">
        <v>43465</v>
      </c>
      <c r="C69" s="1057" t="s">
        <v>219</v>
      </c>
      <c r="D69" s="1055">
        <v>0</v>
      </c>
      <c r="E69" s="1015">
        <f t="shared" si="3"/>
        <v>0</v>
      </c>
      <c r="F69" s="1020">
        <f>SUM($E$54:E69)</f>
        <v>0</v>
      </c>
      <c r="G69" s="1020">
        <f>F68*SUMIF($C$43:$I$43,YEAR(B68),$C$46:$I$46)*((B69-B68)/365)</f>
        <v>0</v>
      </c>
      <c r="H69" s="1020"/>
      <c r="I69" s="1020">
        <f t="shared" si="6"/>
        <v>0</v>
      </c>
      <c r="J69" s="1056">
        <f t="shared" si="4"/>
        <v>0</v>
      </c>
      <c r="K69" s="1061"/>
      <c r="L69" s="1060"/>
    </row>
    <row r="70" spans="1:12" s="975" customFormat="1">
      <c r="A70" s="980">
        <f t="shared" si="0"/>
        <v>47</v>
      </c>
      <c r="B70" s="1053">
        <v>43555</v>
      </c>
      <c r="C70" s="1057" t="s">
        <v>216</v>
      </c>
      <c r="D70" s="1055">
        <v>0</v>
      </c>
      <c r="E70" s="1015">
        <f t="shared" si="3"/>
        <v>0</v>
      </c>
      <c r="F70" s="1020">
        <f>SUM($E$54:E70)</f>
        <v>0</v>
      </c>
      <c r="G70" s="1020">
        <f>F69*SUMIF($C$43:$I$43,YEAR(B69),$C$46:$I$46)*((B70-B69)/365)</f>
        <v>0</v>
      </c>
      <c r="H70" s="1020"/>
      <c r="I70" s="1020">
        <f t="shared" si="6"/>
        <v>0</v>
      </c>
      <c r="J70" s="1056">
        <f>E70-G70-H70-I70</f>
        <v>0</v>
      </c>
      <c r="K70" s="1061"/>
      <c r="L70" s="1060"/>
    </row>
    <row r="71" spans="1:12" s="975" customFormat="1">
      <c r="A71" s="980">
        <f t="shared" si="0"/>
        <v>48</v>
      </c>
      <c r="B71" s="1053">
        <v>43646</v>
      </c>
      <c r="C71" s="1057" t="s">
        <v>217</v>
      </c>
      <c r="D71" s="1055">
        <v>0</v>
      </c>
      <c r="E71" s="1015">
        <f t="shared" si="3"/>
        <v>0</v>
      </c>
      <c r="F71" s="1020">
        <f>SUM($E$54:E71)</f>
        <v>0</v>
      </c>
      <c r="G71" s="1020">
        <f>F70*SUMIF($C$43:$I$43,YEAR(B70),$C$46:$I$46)*((B71-B70)/365)</f>
        <v>0</v>
      </c>
      <c r="H71" s="1020"/>
      <c r="I71" s="1020">
        <f t="shared" si="6"/>
        <v>0</v>
      </c>
      <c r="J71" s="1056">
        <f>E71-G71-H71-I71</f>
        <v>0</v>
      </c>
      <c r="K71" s="1061"/>
      <c r="L71" s="1060"/>
    </row>
    <row r="72" spans="1:12" s="975" customFormat="1">
      <c r="A72" s="980">
        <f t="shared" si="0"/>
        <v>49</v>
      </c>
      <c r="B72" s="1053">
        <v>43738</v>
      </c>
      <c r="C72" s="1057" t="s">
        <v>218</v>
      </c>
      <c r="D72" s="1055">
        <v>0</v>
      </c>
      <c r="E72" s="1015">
        <f t="shared" si="3"/>
        <v>0</v>
      </c>
      <c r="F72" s="1020">
        <f>SUM($E$54:E72)</f>
        <v>0</v>
      </c>
      <c r="G72" s="1020">
        <f>F71*SUMIF($C$43:$I$43,YEAR(B71),$C$46:$I$46)*((B72-B71)/365)</f>
        <v>0</v>
      </c>
      <c r="H72" s="1020"/>
      <c r="I72" s="1020">
        <f t="shared" si="6"/>
        <v>0</v>
      </c>
      <c r="J72" s="1056">
        <f>E72-G72-H72-I72</f>
        <v>0</v>
      </c>
      <c r="K72" s="1061"/>
      <c r="L72" s="1060"/>
    </row>
    <row r="73" spans="1:12" s="975" customFormat="1">
      <c r="A73" s="980">
        <f t="shared" si="0"/>
        <v>50</v>
      </c>
      <c r="B73" s="1053">
        <v>43830</v>
      </c>
      <c r="C73" s="1057" t="s">
        <v>219</v>
      </c>
      <c r="D73" s="1055">
        <v>0</v>
      </c>
      <c r="E73" s="1015">
        <f t="shared" si="3"/>
        <v>0</v>
      </c>
      <c r="F73" s="1020">
        <f>SUM($E$54:E73)</f>
        <v>0</v>
      </c>
      <c r="G73" s="1020">
        <f>F72*SUMIF($C$43:$I$43,YEAR(B72),$C$46:$I$46)*((B73-B72)/365)</f>
        <v>0</v>
      </c>
      <c r="H73" s="1020"/>
      <c r="I73" s="1020">
        <f t="shared" si="6"/>
        <v>0</v>
      </c>
      <c r="J73" s="1056">
        <f>E73-G73-H73-I73</f>
        <v>0</v>
      </c>
      <c r="K73" s="1061"/>
    </row>
    <row r="74" spans="1:12" s="975" customFormat="1">
      <c r="A74" s="980">
        <f t="shared" si="0"/>
        <v>51</v>
      </c>
      <c r="B74" s="1053">
        <v>43831</v>
      </c>
      <c r="C74" s="1057" t="s">
        <v>216</v>
      </c>
      <c r="D74" s="1055">
        <v>0</v>
      </c>
      <c r="E74" s="1015">
        <f t="shared" si="3"/>
        <v>0</v>
      </c>
      <c r="F74" s="1020">
        <f>SUM($E$54:E74)</f>
        <v>0</v>
      </c>
      <c r="G74" s="1020">
        <f>F73*SUMIF($C$43:$I$43,YEAR(B73),$C$46:$I$46)*((B74-B73)/365)+F74</f>
        <v>0</v>
      </c>
      <c r="H74" s="1020"/>
      <c r="I74" s="1020">
        <f t="shared" si="6"/>
        <v>0</v>
      </c>
      <c r="J74" s="1056">
        <f>E74-G74-H74-I74</f>
        <v>0</v>
      </c>
      <c r="K74" s="1061"/>
    </row>
    <row r="75" spans="1:12" s="975" customFormat="1">
      <c r="A75" s="980">
        <f t="shared" si="0"/>
        <v>52</v>
      </c>
      <c r="B75" s="1062"/>
      <c r="C75" s="1054"/>
      <c r="D75" s="1015"/>
      <c r="E75" s="1015"/>
      <c r="F75" s="1020"/>
      <c r="G75" s="1020"/>
      <c r="H75" s="1020"/>
      <c r="I75" s="1020"/>
      <c r="J75" s="1056"/>
      <c r="K75" s="1061"/>
    </row>
    <row r="76" spans="1:12" s="975" customFormat="1">
      <c r="A76" s="980">
        <f t="shared" si="0"/>
        <v>53</v>
      </c>
      <c r="B76" s="1062"/>
      <c r="C76" s="1063"/>
      <c r="D76" s="1015"/>
      <c r="E76" s="1015"/>
      <c r="F76" s="1020"/>
      <c r="G76" s="1064"/>
      <c r="H76" s="1020"/>
      <c r="I76" s="1020"/>
      <c r="J76" s="1056"/>
      <c r="K76" s="1061"/>
    </row>
    <row r="77" spans="1:12" s="975" customFormat="1">
      <c r="A77" s="980">
        <f t="shared" si="0"/>
        <v>54</v>
      </c>
      <c r="B77" s="1062"/>
      <c r="C77" s="1054"/>
      <c r="D77" s="1015"/>
      <c r="E77" s="1015"/>
      <c r="F77" s="1020"/>
      <c r="G77" s="1065"/>
      <c r="H77" s="1020"/>
      <c r="I77" s="1020"/>
      <c r="J77" s="1056"/>
      <c r="K77" s="1061"/>
    </row>
    <row r="78" spans="1:12" s="975" customFormat="1">
      <c r="A78" s="980">
        <f t="shared" si="0"/>
        <v>55</v>
      </c>
      <c r="B78" s="1062"/>
      <c r="C78" s="1054"/>
      <c r="D78" s="1015"/>
      <c r="E78" s="1015"/>
      <c r="F78" s="1020"/>
      <c r="G78" s="1020"/>
      <c r="H78" s="1020"/>
      <c r="I78" s="1020"/>
      <c r="J78" s="1056"/>
      <c r="K78" s="1061"/>
    </row>
    <row r="79" spans="1:12" s="975" customFormat="1">
      <c r="A79" s="980">
        <f t="shared" si="0"/>
        <v>56</v>
      </c>
      <c r="B79" s="1062"/>
      <c r="C79" s="1054"/>
      <c r="D79" s="1015"/>
      <c r="E79" s="1015"/>
      <c r="F79" s="1020"/>
      <c r="G79" s="1020"/>
      <c r="H79" s="1020"/>
      <c r="I79" s="1020"/>
      <c r="J79" s="1056"/>
      <c r="K79" s="1061"/>
    </row>
    <row r="80" spans="1:12" s="975" customFormat="1">
      <c r="A80" s="980">
        <f t="shared" si="0"/>
        <v>57</v>
      </c>
      <c r="B80" s="1062"/>
      <c r="C80" s="1054"/>
      <c r="D80" s="1015"/>
      <c r="E80" s="1015"/>
      <c r="F80" s="1020"/>
      <c r="G80" s="1020"/>
      <c r="H80" s="1020"/>
      <c r="I80" s="1020"/>
      <c r="J80" s="1056"/>
      <c r="K80" s="1061"/>
    </row>
    <row r="81" spans="1:13" s="975" customFormat="1" ht="13.5" thickBot="1">
      <c r="A81" s="980">
        <f t="shared" si="0"/>
        <v>58</v>
      </c>
      <c r="B81" s="1066"/>
      <c r="C81" s="1000"/>
      <c r="D81" s="1024"/>
      <c r="E81" s="1024"/>
      <c r="F81" s="1024"/>
      <c r="G81" s="1024"/>
      <c r="H81" s="1024"/>
      <c r="I81" s="1024"/>
      <c r="J81" s="1025"/>
      <c r="K81" s="1061"/>
    </row>
    <row r="82" spans="1:13" s="975" customFormat="1">
      <c r="A82" s="977"/>
      <c r="K82" s="1061"/>
    </row>
    <row r="83" spans="1:13" s="975" customFormat="1">
      <c r="A83" s="977" t="s">
        <v>640</v>
      </c>
    </row>
    <row r="84" spans="1:13" s="975" customFormat="1" ht="16.5">
      <c r="A84" s="977"/>
      <c r="B84" s="1077"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077"/>
      <c r="D84" s="1077"/>
      <c r="E84" s="1077"/>
      <c r="F84" s="1077"/>
      <c r="G84" s="1077"/>
      <c r="H84" s="1077"/>
      <c r="I84" s="1077"/>
      <c r="J84" s="1077"/>
      <c r="K84" s="1077"/>
      <c r="L84" s="1077"/>
    </row>
    <row r="85" spans="1:13" s="975" customFormat="1" ht="16.5">
      <c r="A85" s="977"/>
      <c r="B85" s="1077" t="s">
        <v>944</v>
      </c>
      <c r="C85" s="1077"/>
      <c r="D85" s="1077"/>
      <c r="E85" s="1077"/>
      <c r="F85" s="1077"/>
      <c r="G85" s="1077"/>
      <c r="H85" s="1077"/>
      <c r="I85" s="1077"/>
      <c r="J85" s="1077"/>
      <c r="K85" s="1077"/>
      <c r="L85" s="1077"/>
    </row>
    <row r="86" spans="1:13" s="975" customFormat="1" ht="16.5">
      <c r="A86" s="977"/>
      <c r="B86" s="1077" t="s">
        <v>1021</v>
      </c>
      <c r="C86" s="1077"/>
      <c r="D86" s="1077"/>
      <c r="E86" s="1077"/>
      <c r="F86" s="1077"/>
      <c r="G86" s="1077"/>
      <c r="H86" s="1077"/>
      <c r="I86" s="1077"/>
      <c r="J86" s="1077"/>
      <c r="K86" s="1077"/>
      <c r="L86" s="1077"/>
    </row>
    <row r="87" spans="1:13" s="975" customFormat="1" ht="16.5">
      <c r="A87" s="977"/>
      <c r="B87" s="1077" t="s">
        <v>641</v>
      </c>
      <c r="C87" s="1077"/>
      <c r="D87" s="1077"/>
      <c r="E87" s="1077"/>
      <c r="F87" s="1077"/>
      <c r="G87" s="1077"/>
      <c r="H87" s="1077"/>
      <c r="I87" s="1077"/>
      <c r="J87" s="1077"/>
      <c r="K87" s="1077"/>
      <c r="L87" s="1077"/>
    </row>
    <row r="88" spans="1:13" s="975" customFormat="1" ht="16.5">
      <c r="A88" s="977"/>
      <c r="B88" s="1077" t="s">
        <v>642</v>
      </c>
      <c r="C88" s="1077"/>
      <c r="D88" s="1077"/>
      <c r="E88" s="1077"/>
      <c r="F88" s="1077"/>
      <c r="G88" s="1077"/>
      <c r="H88" s="1077"/>
      <c r="I88" s="1077"/>
      <c r="J88" s="1077"/>
      <c r="K88" s="1077"/>
      <c r="L88" s="1077"/>
    </row>
    <row r="89" spans="1:13" s="975" customFormat="1" ht="16.5">
      <c r="A89" s="977"/>
      <c r="B89" s="1077" t="s">
        <v>643</v>
      </c>
      <c r="C89" s="1077"/>
      <c r="D89" s="1078"/>
      <c r="E89" s="1078"/>
      <c r="F89" s="1078"/>
      <c r="G89" s="1078"/>
      <c r="H89" s="1078"/>
      <c r="I89" s="1078"/>
      <c r="J89" s="1078"/>
      <c r="K89" s="1077"/>
      <c r="L89" s="1077"/>
    </row>
    <row r="90" spans="1:13" s="975" customFormat="1" ht="16.5">
      <c r="A90" s="977"/>
      <c r="B90" s="1077" t="s">
        <v>1020</v>
      </c>
      <c r="C90" s="1077"/>
      <c r="D90" s="1077"/>
      <c r="E90" s="1077"/>
      <c r="F90" s="1077"/>
      <c r="G90" s="1077"/>
      <c r="H90" s="1077"/>
      <c r="I90" s="1077"/>
      <c r="J90" s="1077"/>
      <c r="K90" s="1077"/>
      <c r="L90" s="1077"/>
    </row>
    <row r="91" spans="1:13" s="975" customFormat="1" ht="16.5">
      <c r="A91" s="977"/>
      <c r="B91" s="1077" t="s">
        <v>644</v>
      </c>
      <c r="C91" s="1077"/>
      <c r="D91" s="1077"/>
      <c r="E91" s="1077"/>
      <c r="F91" s="1077"/>
      <c r="G91" s="1077"/>
      <c r="H91" s="1077"/>
      <c r="I91" s="1077"/>
      <c r="J91" s="1077"/>
      <c r="K91" s="1077"/>
      <c r="L91" s="1077"/>
    </row>
    <row r="92" spans="1:13" s="975" customFormat="1" ht="16.5">
      <c r="A92" s="977"/>
      <c r="B92" s="1077" t="s">
        <v>645</v>
      </c>
      <c r="C92" s="1077"/>
      <c r="D92" s="1077"/>
      <c r="E92" s="1077"/>
      <c r="F92" s="1077"/>
      <c r="G92" s="1077"/>
      <c r="H92" s="1077"/>
      <c r="I92" s="1077"/>
      <c r="J92" s="1077"/>
      <c r="K92" s="1077"/>
      <c r="L92" s="1077"/>
    </row>
    <row r="93" spans="1:13" s="975" customFormat="1" ht="16.5">
      <c r="A93" s="977"/>
      <c r="B93" s="1079" t="s">
        <v>690</v>
      </c>
      <c r="C93" s="1077"/>
      <c r="D93" s="1077"/>
      <c r="E93" s="1077"/>
      <c r="F93" s="1077"/>
      <c r="G93" s="1077"/>
      <c r="H93" s="1077"/>
      <c r="I93" s="1077"/>
      <c r="J93" s="1077"/>
      <c r="K93" s="1077"/>
      <c r="L93" s="1077"/>
    </row>
    <row r="94" spans="1:13" s="975" customFormat="1" ht="16.5">
      <c r="A94" s="977"/>
      <c r="B94" s="1077" t="s">
        <v>646</v>
      </c>
      <c r="C94" s="1078"/>
      <c r="D94" s="1077"/>
      <c r="E94" s="1080"/>
      <c r="F94" s="1077"/>
      <c r="G94" s="1080"/>
      <c r="H94" s="1080"/>
      <c r="I94" s="1077"/>
      <c r="J94" s="1080"/>
      <c r="K94" s="1077"/>
      <c r="L94" s="1077"/>
    </row>
    <row r="95" spans="1:13" s="975" customFormat="1" ht="16.5">
      <c r="A95" s="977"/>
      <c r="B95" s="1244" t="s">
        <v>945</v>
      </c>
      <c r="C95" s="1245"/>
      <c r="D95" s="1246"/>
      <c r="E95" s="1246"/>
      <c r="F95" s="1245"/>
      <c r="G95" s="1245"/>
      <c r="H95" s="1245"/>
      <c r="I95" s="1245"/>
      <c r="J95" s="1245"/>
      <c r="K95" s="1245"/>
      <c r="L95" s="1209"/>
      <c r="M95" s="976"/>
    </row>
    <row r="96" spans="1:13" s="975" customFormat="1" ht="16.5">
      <c r="A96" s="977"/>
      <c r="B96" s="1244" t="s">
        <v>824</v>
      </c>
      <c r="C96" s="1245"/>
      <c r="D96" s="1246"/>
      <c r="E96" s="1246"/>
      <c r="F96" s="1245"/>
      <c r="G96" s="1245"/>
      <c r="H96" s="1245"/>
      <c r="I96" s="1245"/>
      <c r="J96" s="1245"/>
      <c r="K96" s="1245"/>
      <c r="L96" s="1209"/>
      <c r="M96" s="976"/>
    </row>
    <row r="97" spans="1:13" s="975" customFormat="1" ht="16.5">
      <c r="A97" s="977"/>
      <c r="B97" s="1247" t="s">
        <v>825</v>
      </c>
      <c r="C97" s="1245"/>
      <c r="D97" s="1246"/>
      <c r="E97" s="1246"/>
      <c r="F97" s="1245"/>
      <c r="G97" s="1245"/>
      <c r="H97" s="1245"/>
      <c r="I97" s="1245"/>
      <c r="J97" s="1245"/>
      <c r="K97" s="1245"/>
      <c r="L97" s="1209"/>
      <c r="M97" s="976"/>
    </row>
    <row r="98" spans="1:13" s="975" customFormat="1" ht="16.5">
      <c r="A98" s="977"/>
      <c r="B98" s="1248" t="s">
        <v>826</v>
      </c>
      <c r="C98" s="1249"/>
      <c r="D98" s="1250"/>
      <c r="E98" s="1246"/>
      <c r="F98" s="1245"/>
      <c r="G98" s="1245"/>
      <c r="H98" s="1245"/>
      <c r="I98" s="1245"/>
      <c r="J98" s="1245"/>
      <c r="K98" s="1245"/>
      <c r="L98" s="1209"/>
      <c r="M98" s="976"/>
    </row>
    <row r="99" spans="1:13" s="975" customFormat="1" ht="16.5">
      <c r="A99" s="977"/>
      <c r="B99" s="1077" t="s">
        <v>647</v>
      </c>
      <c r="C99" s="1077"/>
      <c r="D99" s="1081"/>
      <c r="E99" s="1081"/>
      <c r="F99" s="1077"/>
      <c r="G99" s="1077"/>
      <c r="H99" s="1077"/>
      <c r="I99" s="1077"/>
      <c r="J99" s="1077"/>
      <c r="K99" s="1077"/>
      <c r="L99" s="1077"/>
    </row>
    <row r="100" spans="1:13" s="975" customFormat="1" ht="16.5">
      <c r="A100" s="977"/>
      <c r="B100" s="1077" t="s">
        <v>1022</v>
      </c>
      <c r="C100" s="1077"/>
      <c r="D100" s="1081"/>
      <c r="E100" s="1081"/>
      <c r="F100" s="1077"/>
      <c r="G100" s="1077"/>
      <c r="H100" s="1077"/>
      <c r="I100" s="1077"/>
      <c r="J100" s="1077"/>
      <c r="K100" s="1077"/>
      <c r="L100" s="1077"/>
    </row>
    <row r="101" spans="1:13" s="975" customFormat="1" ht="16.5">
      <c r="A101" s="977"/>
      <c r="B101" s="1077" t="s">
        <v>1029</v>
      </c>
      <c r="C101" s="1077"/>
      <c r="D101" s="1081"/>
      <c r="E101" s="1081"/>
      <c r="F101" s="1077"/>
      <c r="G101" s="1077"/>
      <c r="H101" s="1077"/>
      <c r="I101" s="1077"/>
      <c r="J101" s="1077"/>
      <c r="K101" s="1077"/>
      <c r="L101" s="1077"/>
    </row>
    <row r="102" spans="1:13" s="975" customFormat="1" ht="16.5">
      <c r="A102" s="977"/>
      <c r="B102" s="1077" t="s">
        <v>648</v>
      </c>
      <c r="C102" s="1077"/>
      <c r="D102" s="1081"/>
      <c r="E102" s="1081"/>
      <c r="F102" s="1077"/>
      <c r="G102" s="1077"/>
      <c r="H102" s="1077"/>
      <c r="I102" s="1077"/>
      <c r="J102" s="1077"/>
      <c r="K102" s="1077"/>
      <c r="L102" s="1077"/>
    </row>
    <row r="103" spans="1:13" s="975" customFormat="1" ht="16.5">
      <c r="A103" s="977"/>
      <c r="B103" s="1077"/>
      <c r="C103" s="1077" t="s">
        <v>657</v>
      </c>
      <c r="D103" s="1077"/>
      <c r="E103" s="1077"/>
      <c r="F103" s="1077"/>
      <c r="G103" s="1077"/>
      <c r="H103" s="1077"/>
      <c r="I103" s="1077"/>
      <c r="J103" s="1077"/>
      <c r="K103" s="1077"/>
      <c r="L103" s="1077"/>
    </row>
    <row r="104" spans="1:13" s="975" customFormat="1" ht="16.5">
      <c r="A104" s="977"/>
      <c r="B104" s="1082" t="s">
        <v>649</v>
      </c>
      <c r="C104" s="1077" t="s">
        <v>650</v>
      </c>
      <c r="D104" s="1077"/>
      <c r="E104" s="1077"/>
      <c r="F104" s="1077"/>
      <c r="G104" s="1077"/>
      <c r="H104" s="1077"/>
      <c r="I104" s="1077"/>
      <c r="J104" s="1077"/>
      <c r="K104" s="1077"/>
      <c r="L104" s="1077"/>
    </row>
    <row r="105" spans="1:13" s="975" customFormat="1" ht="16.5">
      <c r="A105" s="977"/>
      <c r="B105" s="1082" t="s">
        <v>651</v>
      </c>
      <c r="C105" s="1077" t="s">
        <v>946</v>
      </c>
      <c r="D105" s="1077"/>
      <c r="E105" s="1077"/>
      <c r="F105" s="1077"/>
      <c r="G105" s="1077"/>
      <c r="H105" s="1077"/>
      <c r="I105" s="1077"/>
      <c r="J105" s="1077"/>
      <c r="K105" s="1077"/>
      <c r="L105" s="1077"/>
    </row>
    <row r="106" spans="1:13" s="975" customFormat="1" ht="16.5">
      <c r="A106" s="977"/>
      <c r="B106" s="1082" t="s">
        <v>652</v>
      </c>
      <c r="C106" s="1077" t="s">
        <v>653</v>
      </c>
      <c r="D106" s="1077"/>
      <c r="E106" s="1077"/>
      <c r="F106" s="1077"/>
      <c r="G106" s="1077"/>
      <c r="H106" s="1077"/>
      <c r="I106" s="1077"/>
      <c r="J106" s="1077"/>
      <c r="K106" s="1077"/>
      <c r="L106" s="1077"/>
    </row>
    <row r="107" spans="1:13" s="975" customFormat="1" ht="16.5">
      <c r="A107" s="977"/>
      <c r="B107" s="1077" t="s">
        <v>654</v>
      </c>
      <c r="C107" s="1083"/>
      <c r="D107" s="1077"/>
      <c r="E107" s="1077"/>
      <c r="F107" s="1077"/>
      <c r="G107" s="1077"/>
      <c r="H107" s="1077"/>
      <c r="I107" s="1077"/>
      <c r="J107" s="1077"/>
      <c r="K107" s="1077"/>
      <c r="L107" s="1077"/>
    </row>
    <row r="108" spans="1:13" s="975" customFormat="1" ht="16.5">
      <c r="A108" s="977"/>
      <c r="B108" s="1077" t="s">
        <v>688</v>
      </c>
      <c r="C108" s="1077"/>
      <c r="D108" s="1077"/>
      <c r="E108" s="1077"/>
      <c r="F108" s="1077"/>
      <c r="G108" s="1077"/>
      <c r="H108" s="1077"/>
      <c r="I108" s="1077"/>
      <c r="J108" s="1077"/>
      <c r="K108" s="1077"/>
      <c r="L108" s="1077"/>
    </row>
    <row r="109" spans="1:13" s="975" customFormat="1" ht="16.5">
      <c r="A109" s="977"/>
      <c r="B109" s="1077" t="s">
        <v>948</v>
      </c>
      <c r="C109" s="1077"/>
      <c r="D109" s="1077"/>
      <c r="E109" s="1077"/>
      <c r="F109" s="1077"/>
      <c r="G109" s="1077"/>
      <c r="H109" s="1077"/>
      <c r="I109" s="1077"/>
      <c r="J109" s="1077"/>
      <c r="K109" s="1077"/>
      <c r="L109" s="1077"/>
    </row>
    <row r="110" spans="1:13" s="975" customFormat="1" ht="16.5">
      <c r="A110" s="977"/>
      <c r="B110" s="1077" t="s">
        <v>947</v>
      </c>
      <c r="C110" s="1077"/>
      <c r="D110" s="1078"/>
      <c r="E110" s="1078"/>
      <c r="F110" s="1078"/>
      <c r="G110" s="1078"/>
      <c r="H110" s="1078"/>
      <c r="I110" s="1078"/>
      <c r="J110" s="1078"/>
      <c r="K110" s="1077"/>
      <c r="L110" s="1077"/>
    </row>
    <row r="111" spans="1:13" s="975" customFormat="1" ht="84.75" customHeight="1">
      <c r="A111" s="977"/>
      <c r="B111" s="1711" t="s">
        <v>1023</v>
      </c>
      <c r="C111" s="1711"/>
      <c r="D111" s="1711"/>
      <c r="E111" s="1711"/>
      <c r="F111" s="1711"/>
      <c r="G111" s="1711"/>
      <c r="H111" s="1711"/>
      <c r="I111" s="1711"/>
      <c r="J111" s="1711"/>
      <c r="K111" s="1085"/>
      <c r="L111" s="1077"/>
    </row>
    <row r="112" spans="1:13" s="975" customFormat="1" ht="16.5">
      <c r="A112" s="1068"/>
      <c r="B112" s="1077"/>
      <c r="C112" s="1077"/>
      <c r="D112" s="1077"/>
      <c r="E112" s="1077"/>
      <c r="F112" s="1077"/>
      <c r="G112" s="1077"/>
      <c r="H112" s="1077"/>
      <c r="I112" s="1077"/>
      <c r="J112" s="1077"/>
      <c r="K112" s="1077"/>
      <c r="L112" s="1077"/>
    </row>
    <row r="113" spans="1:12" s="975" customFormat="1" ht="16.5">
      <c r="A113" s="1068"/>
      <c r="B113" s="1077"/>
      <c r="C113" s="1077"/>
      <c r="D113" s="1077"/>
      <c r="E113" s="1077"/>
      <c r="F113" s="1077"/>
      <c r="G113" s="1077"/>
      <c r="H113" s="1077"/>
      <c r="I113" s="1077"/>
      <c r="J113" s="1077"/>
      <c r="K113" s="1077"/>
      <c r="L113" s="1077"/>
    </row>
    <row r="114" spans="1:12" s="975" customFormat="1" ht="16.5">
      <c r="A114" s="1068"/>
      <c r="B114" s="1077"/>
      <c r="C114" s="1077"/>
      <c r="D114" s="1077"/>
      <c r="E114" s="1077"/>
      <c r="F114" s="1077"/>
      <c r="G114" s="1077"/>
      <c r="H114" s="1077"/>
      <c r="I114" s="1077"/>
      <c r="J114" s="1077"/>
      <c r="K114" s="1077"/>
      <c r="L114" s="1077"/>
    </row>
    <row r="115" spans="1:12" s="975" customFormat="1" ht="16.5">
      <c r="A115" s="1068"/>
      <c r="B115" s="1077"/>
      <c r="C115" s="1077"/>
      <c r="D115" s="1077"/>
      <c r="E115" s="1077"/>
      <c r="F115" s="1077"/>
      <c r="G115" s="1077"/>
      <c r="H115" s="1077"/>
      <c r="I115" s="1077"/>
      <c r="J115" s="1077"/>
      <c r="K115" s="1077"/>
      <c r="L115" s="1077"/>
    </row>
    <row r="116" spans="1:12" ht="16.5">
      <c r="B116" s="1077"/>
      <c r="C116" s="1077"/>
      <c r="D116" s="1077"/>
      <c r="E116" s="1077"/>
      <c r="F116" s="1077"/>
      <c r="G116" s="1077"/>
      <c r="H116" s="1077"/>
      <c r="I116" s="1077"/>
      <c r="J116" s="1077"/>
      <c r="K116" s="1077"/>
      <c r="L116" s="1078"/>
    </row>
    <row r="117" spans="1:12" ht="16.5">
      <c r="B117" s="1076"/>
      <c r="C117" s="1077"/>
      <c r="D117" s="1077"/>
      <c r="E117" s="1078"/>
      <c r="F117" s="1078"/>
      <c r="G117" s="1078"/>
      <c r="H117" s="1078"/>
      <c r="I117" s="1078"/>
      <c r="J117" s="1078"/>
      <c r="K117" s="1077"/>
      <c r="L117" s="1078"/>
    </row>
    <row r="118" spans="1:12" ht="16.5">
      <c r="B118" s="1077"/>
      <c r="C118" s="1077"/>
      <c r="D118" s="1077"/>
      <c r="E118" s="1078"/>
      <c r="F118" s="1078"/>
      <c r="G118" s="1078"/>
      <c r="H118" s="1078"/>
      <c r="I118" s="1078"/>
      <c r="J118" s="1078"/>
      <c r="K118" s="1077"/>
      <c r="L118" s="1078"/>
    </row>
    <row r="119" spans="1:12" ht="16.5">
      <c r="B119" s="1077"/>
      <c r="C119" s="1077"/>
      <c r="D119" s="1077"/>
      <c r="E119" s="1078"/>
      <c r="F119" s="1078"/>
      <c r="G119" s="1078"/>
      <c r="H119" s="1078"/>
      <c r="I119" s="1078"/>
      <c r="J119" s="1078"/>
      <c r="K119" s="1077"/>
      <c r="L119" s="1078"/>
    </row>
    <row r="120" spans="1:12" ht="16.5">
      <c r="B120" s="1077"/>
      <c r="C120" s="1077"/>
      <c r="D120" s="1078"/>
      <c r="E120" s="1077"/>
      <c r="F120" s="1077"/>
      <c r="G120" s="1077"/>
      <c r="H120" s="1077"/>
      <c r="I120" s="1077"/>
      <c r="J120" s="1077"/>
      <c r="K120" s="1077"/>
      <c r="L120" s="1078"/>
    </row>
    <row r="121" spans="1:12" ht="16.5">
      <c r="B121" s="1079"/>
      <c r="C121" s="1077"/>
      <c r="D121" s="1077"/>
      <c r="E121" s="1077"/>
      <c r="F121" s="1077"/>
      <c r="G121" s="1077"/>
      <c r="H121" s="1077"/>
      <c r="I121" s="1077"/>
      <c r="J121" s="1077"/>
      <c r="K121" s="1077"/>
      <c r="L121" s="1078"/>
    </row>
    <row r="122" spans="1:12" ht="16.5">
      <c r="B122" s="1077"/>
      <c r="C122" s="1077"/>
      <c r="D122" s="1077"/>
      <c r="E122" s="1077"/>
      <c r="F122" s="1077"/>
      <c r="G122" s="1077"/>
      <c r="H122" s="1077"/>
      <c r="I122" s="1077"/>
      <c r="J122" s="1077"/>
      <c r="K122" s="1077"/>
      <c r="L122" s="1078"/>
    </row>
    <row r="123" spans="1:12" ht="16.5">
      <c r="B123" s="1077"/>
      <c r="C123" s="1077"/>
      <c r="D123" s="1077"/>
      <c r="E123" s="1077"/>
      <c r="F123" s="1077"/>
      <c r="G123" s="1077"/>
      <c r="H123" s="1077"/>
      <c r="I123" s="1077"/>
      <c r="J123" s="1077"/>
      <c r="K123" s="1077"/>
      <c r="L123" s="1078"/>
    </row>
    <row r="124" spans="1:12" ht="16.5">
      <c r="B124" s="1077"/>
      <c r="C124" s="1077"/>
      <c r="D124" s="1077"/>
      <c r="E124" s="1080"/>
      <c r="F124" s="1077"/>
      <c r="G124" s="1080"/>
      <c r="H124" s="1080"/>
      <c r="I124" s="1077"/>
      <c r="J124" s="1080"/>
      <c r="K124" s="1077"/>
      <c r="L124" s="1078"/>
    </row>
    <row r="125" spans="1:12" ht="16.5">
      <c r="B125" s="1077"/>
      <c r="C125" s="1077"/>
      <c r="D125" s="1077"/>
      <c r="E125" s="1084"/>
      <c r="F125" s="1077"/>
      <c r="G125" s="1077"/>
      <c r="H125" s="1077"/>
      <c r="I125" s="1077"/>
      <c r="J125" s="1077"/>
      <c r="K125" s="1077"/>
      <c r="L125" s="1078"/>
    </row>
    <row r="126" spans="1:12" ht="16.5">
      <c r="B126" s="1077"/>
      <c r="C126" s="1077"/>
      <c r="D126" s="1084"/>
      <c r="E126" s="1084"/>
      <c r="F126" s="1077"/>
      <c r="G126" s="1077"/>
      <c r="H126" s="1077"/>
      <c r="I126" s="1077"/>
      <c r="J126" s="1077"/>
      <c r="K126" s="1077"/>
      <c r="L126" s="1078"/>
    </row>
    <row r="127" spans="1:12" ht="16.5">
      <c r="B127" s="1077"/>
      <c r="C127" s="1077"/>
      <c r="D127" s="1084"/>
      <c r="E127" s="1084"/>
      <c r="F127" s="1077"/>
      <c r="G127" s="1077"/>
      <c r="H127" s="1077"/>
      <c r="I127" s="1077"/>
      <c r="J127" s="1077"/>
      <c r="K127" s="1077"/>
      <c r="L127" s="1078"/>
    </row>
    <row r="128" spans="1:12" ht="16.5">
      <c r="B128" s="1077"/>
      <c r="C128" s="1077"/>
      <c r="D128" s="1084"/>
      <c r="E128" s="1084"/>
      <c r="F128" s="1077"/>
      <c r="G128" s="1077"/>
      <c r="H128" s="1077"/>
      <c r="I128" s="1077"/>
      <c r="J128" s="1077"/>
      <c r="K128" s="1077"/>
      <c r="L128" s="1078"/>
    </row>
    <row r="129" spans="2:12" ht="16.5">
      <c r="B129" s="1077"/>
      <c r="C129" s="1077"/>
      <c r="D129" s="1084"/>
      <c r="E129" s="1084"/>
      <c r="F129" s="1077"/>
      <c r="G129" s="1077"/>
      <c r="H129" s="1077"/>
      <c r="I129" s="1077"/>
      <c r="J129" s="1077"/>
      <c r="K129" s="1077"/>
      <c r="L129" s="1078"/>
    </row>
    <row r="130" spans="2:12" ht="16.5">
      <c r="B130" s="1077"/>
      <c r="C130" s="1077"/>
      <c r="D130" s="1084"/>
      <c r="E130" s="1084"/>
      <c r="F130" s="1077"/>
      <c r="G130" s="1077"/>
      <c r="H130" s="1077"/>
      <c r="I130" s="1077"/>
      <c r="J130" s="1077"/>
      <c r="K130" s="1077"/>
      <c r="L130" s="1078"/>
    </row>
    <row r="131" spans="2:12" ht="16.5">
      <c r="B131" s="1077"/>
      <c r="C131" s="1077"/>
      <c r="D131" s="1084"/>
      <c r="E131" s="1084"/>
      <c r="F131" s="1077"/>
      <c r="G131" s="1077"/>
      <c r="H131" s="1077"/>
      <c r="I131" s="1077"/>
      <c r="J131" s="1077"/>
      <c r="K131" s="1077"/>
      <c r="L131" s="1078"/>
    </row>
    <row r="132" spans="2:12" ht="16.5">
      <c r="B132" s="1082"/>
      <c r="C132" s="1077"/>
      <c r="D132" s="1084"/>
      <c r="E132" s="1084"/>
      <c r="F132" s="1077"/>
      <c r="G132" s="1077"/>
      <c r="H132" s="1077"/>
      <c r="I132" s="1077"/>
      <c r="J132" s="1077"/>
      <c r="K132" s="1077"/>
      <c r="L132" s="1078"/>
    </row>
    <row r="133" spans="2:12" ht="16.5">
      <c r="B133" s="1082"/>
      <c r="C133" s="1077"/>
      <c r="D133" s="1084"/>
      <c r="E133" s="1077"/>
      <c r="F133" s="1077"/>
      <c r="G133" s="1077"/>
      <c r="H133" s="1077"/>
      <c r="I133" s="1077"/>
      <c r="J133" s="1077"/>
      <c r="K133" s="1077"/>
      <c r="L133" s="1078"/>
    </row>
    <row r="134" spans="2:12" ht="16.5">
      <c r="B134" s="1082"/>
      <c r="C134" s="1077"/>
      <c r="D134" s="1077"/>
      <c r="E134" s="1077"/>
      <c r="F134" s="1077"/>
      <c r="G134" s="1077"/>
      <c r="H134" s="1077"/>
      <c r="I134" s="1077"/>
      <c r="J134" s="1077"/>
      <c r="K134" s="1077"/>
      <c r="L134" s="1078"/>
    </row>
    <row r="135" spans="2:12" ht="16.5">
      <c r="B135" s="1077"/>
      <c r="C135" s="1077"/>
      <c r="D135" s="1077"/>
      <c r="E135" s="1077"/>
      <c r="F135" s="1077"/>
      <c r="G135" s="1077"/>
      <c r="H135" s="1077"/>
      <c r="I135" s="1077"/>
      <c r="J135" s="1077"/>
      <c r="K135" s="1077"/>
      <c r="L135" s="1078"/>
    </row>
    <row r="136" spans="2:12" ht="16.5">
      <c r="B136" s="1077"/>
      <c r="C136" s="1077"/>
      <c r="D136" s="1077"/>
      <c r="E136" s="1077"/>
      <c r="F136" s="1077"/>
      <c r="G136" s="1077"/>
      <c r="H136" s="1077"/>
      <c r="I136" s="1077"/>
      <c r="J136" s="1077"/>
      <c r="K136" s="1077"/>
      <c r="L136" s="1078"/>
    </row>
    <row r="137" spans="2:12" ht="16.5">
      <c r="B137" s="1078"/>
      <c r="C137" s="1078"/>
      <c r="D137" s="1078"/>
      <c r="E137" s="1078"/>
      <c r="F137" s="1078"/>
      <c r="G137" s="1078"/>
      <c r="H137" s="1078"/>
      <c r="I137" s="1078"/>
      <c r="J137" s="1078"/>
      <c r="K137" s="1078"/>
      <c r="L137" s="1078"/>
    </row>
    <row r="138" spans="2:12" ht="16.5">
      <c r="B138" s="1078"/>
      <c r="C138" s="1078"/>
      <c r="D138" s="1078"/>
      <c r="E138" s="1078"/>
      <c r="F138" s="1078"/>
      <c r="G138" s="1078"/>
      <c r="H138" s="1078"/>
      <c r="I138" s="1078"/>
      <c r="J138" s="1078"/>
      <c r="K138" s="1078"/>
      <c r="L138" s="1078"/>
    </row>
    <row r="139" spans="2:12" ht="16.5">
      <c r="B139" s="1078"/>
      <c r="C139" s="1078"/>
      <c r="D139" s="1078"/>
      <c r="E139" s="1078"/>
      <c r="F139" s="1078"/>
      <c r="G139" s="1078"/>
      <c r="H139" s="1078"/>
      <c r="I139" s="1078"/>
      <c r="J139" s="1078"/>
      <c r="K139" s="1078"/>
      <c r="L139" s="1078"/>
    </row>
    <row r="140" spans="2:12" ht="16.5">
      <c r="B140" s="1078"/>
      <c r="C140" s="1078"/>
      <c r="D140" s="1078"/>
      <c r="E140" s="1078"/>
      <c r="F140" s="1078"/>
      <c r="G140" s="1078"/>
      <c r="H140" s="1078"/>
      <c r="I140" s="1078"/>
      <c r="J140" s="1078"/>
      <c r="K140" s="1078"/>
      <c r="L140" s="1078"/>
    </row>
    <row r="141" spans="2:12" ht="16.5">
      <c r="B141" s="1078"/>
      <c r="C141" s="1078"/>
      <c r="D141" s="1078"/>
      <c r="E141" s="1078"/>
      <c r="F141" s="1078"/>
      <c r="G141" s="1078"/>
      <c r="H141" s="1078"/>
      <c r="I141" s="1078"/>
      <c r="J141" s="1078"/>
      <c r="K141" s="1078"/>
      <c r="L141" s="1078"/>
    </row>
    <row r="142" spans="2:12" ht="16.5">
      <c r="B142" s="1078"/>
      <c r="C142" s="1078"/>
      <c r="D142" s="1078"/>
      <c r="E142" s="1078"/>
      <c r="F142" s="1078"/>
      <c r="G142" s="1078"/>
      <c r="H142" s="1078"/>
      <c r="I142" s="1078"/>
      <c r="J142" s="1078"/>
      <c r="K142" s="1078"/>
      <c r="L142" s="1078"/>
    </row>
    <row r="143" spans="2:12" ht="16.5">
      <c r="B143" s="1078"/>
      <c r="C143" s="1078"/>
      <c r="D143" s="1078"/>
      <c r="E143" s="1078"/>
      <c r="F143" s="1078"/>
      <c r="G143" s="1078"/>
      <c r="H143" s="1078"/>
      <c r="I143" s="1078"/>
      <c r="J143" s="1078"/>
      <c r="K143" s="1078"/>
      <c r="L143" s="1078"/>
    </row>
    <row r="144" spans="2:12" ht="16.5">
      <c r="B144" s="1078"/>
      <c r="C144" s="1078"/>
      <c r="D144" s="1078"/>
      <c r="E144" s="1078"/>
      <c r="F144" s="1078"/>
      <c r="G144" s="1078"/>
      <c r="H144" s="1078"/>
      <c r="I144" s="1078"/>
      <c r="J144" s="1078"/>
      <c r="K144" s="1078"/>
      <c r="L144" s="1078"/>
    </row>
    <row r="145" spans="2:12" ht="16.5">
      <c r="B145" s="1078"/>
      <c r="C145" s="1078"/>
      <c r="D145" s="1078"/>
      <c r="E145" s="1078"/>
      <c r="F145" s="1078"/>
      <c r="G145" s="1078"/>
      <c r="H145" s="1078"/>
      <c r="I145" s="1078"/>
      <c r="J145" s="1078"/>
      <c r="K145" s="1078"/>
      <c r="L145" s="1078"/>
    </row>
    <row r="146" spans="2:12" ht="16.5">
      <c r="B146" s="1078"/>
      <c r="C146" s="1078"/>
      <c r="D146" s="1078"/>
      <c r="E146" s="1078"/>
      <c r="F146" s="1078"/>
      <c r="G146" s="1078"/>
      <c r="H146" s="1078"/>
      <c r="I146" s="1078"/>
      <c r="J146" s="1078"/>
      <c r="K146" s="1078"/>
      <c r="L146" s="1078"/>
    </row>
    <row r="147" spans="2:12" ht="16.5">
      <c r="B147" s="1078"/>
      <c r="C147" s="1078"/>
      <c r="D147" s="1078"/>
      <c r="E147" s="1078"/>
      <c r="F147" s="1078"/>
      <c r="G147" s="1078"/>
      <c r="H147" s="1078"/>
      <c r="I147" s="1078"/>
      <c r="J147" s="1078"/>
      <c r="K147" s="1078"/>
      <c r="L147" s="1078"/>
    </row>
    <row r="148" spans="2:12" ht="16.5">
      <c r="B148" s="1078"/>
      <c r="C148" s="1078"/>
      <c r="D148" s="1078"/>
      <c r="E148" s="1078"/>
      <c r="F148" s="1078"/>
      <c r="G148" s="1078"/>
      <c r="H148" s="1078"/>
      <c r="I148" s="1078"/>
      <c r="J148" s="1078"/>
      <c r="K148" s="1078"/>
      <c r="L148" s="1078"/>
    </row>
    <row r="149" spans="2:12" ht="16.5">
      <c r="B149" s="1078"/>
      <c r="C149" s="1078"/>
      <c r="D149" s="1078"/>
      <c r="E149" s="1078"/>
      <c r="F149" s="1078"/>
      <c r="G149" s="1078"/>
      <c r="H149" s="1078"/>
      <c r="I149" s="1078"/>
      <c r="J149" s="1078"/>
      <c r="K149" s="1078"/>
      <c r="L149" s="1078"/>
    </row>
    <row r="150" spans="2:12" ht="16.5">
      <c r="B150" s="1078"/>
      <c r="C150" s="1078"/>
      <c r="D150" s="1078"/>
      <c r="E150" s="1078"/>
      <c r="F150" s="1078"/>
      <c r="G150" s="1078"/>
      <c r="H150" s="1078"/>
      <c r="I150" s="1078"/>
      <c r="J150" s="1078"/>
      <c r="K150" s="1078"/>
      <c r="L150" s="1078"/>
    </row>
    <row r="151" spans="2:12" ht="16.5">
      <c r="B151" s="1078"/>
      <c r="C151" s="1078"/>
      <c r="D151" s="1078"/>
      <c r="E151" s="1078"/>
      <c r="F151" s="1078"/>
      <c r="G151" s="1078"/>
      <c r="H151" s="1078"/>
      <c r="I151" s="1078"/>
      <c r="J151" s="1078"/>
      <c r="K151" s="1078"/>
      <c r="L151" s="1078"/>
    </row>
    <row r="152" spans="2:12" ht="16.5">
      <c r="B152" s="1078"/>
      <c r="C152" s="1078"/>
      <c r="D152" s="1078"/>
      <c r="E152" s="1078"/>
      <c r="F152" s="1078"/>
      <c r="G152" s="1078"/>
      <c r="H152" s="1078"/>
      <c r="I152" s="1078"/>
      <c r="J152" s="1078"/>
      <c r="K152" s="1078"/>
      <c r="L152" s="1078"/>
    </row>
    <row r="153" spans="2:12" ht="16.5">
      <c r="B153" s="1078"/>
      <c r="C153" s="1078"/>
      <c r="D153" s="1078"/>
      <c r="E153" s="1078"/>
      <c r="F153" s="1078"/>
      <c r="G153" s="1078"/>
      <c r="H153" s="1078"/>
      <c r="I153" s="1078"/>
      <c r="J153" s="1078"/>
      <c r="K153" s="1078"/>
      <c r="L153" s="1078"/>
    </row>
    <row r="154" spans="2:12" ht="16.5">
      <c r="B154" s="1078"/>
      <c r="C154" s="1078"/>
      <c r="D154" s="1078"/>
      <c r="E154" s="1078"/>
      <c r="F154" s="1078"/>
      <c r="G154" s="1078"/>
      <c r="H154" s="1078"/>
      <c r="I154" s="1078"/>
      <c r="J154" s="1078"/>
      <c r="K154" s="1078"/>
      <c r="L154" s="1078"/>
    </row>
    <row r="155" spans="2:12" ht="16.5">
      <c r="B155" s="1078"/>
      <c r="C155" s="1078"/>
      <c r="D155" s="1078"/>
      <c r="E155" s="1078"/>
      <c r="F155" s="1078"/>
      <c r="G155" s="1078"/>
      <c r="H155" s="1078"/>
      <c r="I155" s="1078"/>
      <c r="J155" s="1078"/>
      <c r="K155" s="1078"/>
      <c r="L155" s="1078"/>
    </row>
    <row r="156" spans="2:12" ht="16.5">
      <c r="B156" s="1078"/>
      <c r="C156" s="1078"/>
      <c r="D156" s="1078"/>
      <c r="E156" s="1078"/>
      <c r="F156" s="1078"/>
      <c r="G156" s="1078"/>
      <c r="H156" s="1078"/>
      <c r="I156" s="1078"/>
      <c r="J156" s="1078"/>
      <c r="K156" s="1078"/>
      <c r="L156" s="1078"/>
    </row>
    <row r="157" spans="2:12" ht="16.5">
      <c r="B157" s="1078"/>
      <c r="C157" s="1078"/>
      <c r="D157" s="1078"/>
      <c r="E157" s="1078"/>
      <c r="F157" s="1078"/>
      <c r="G157" s="1078"/>
      <c r="H157" s="1078"/>
      <c r="I157" s="1078"/>
      <c r="J157" s="1078"/>
      <c r="K157" s="1078"/>
      <c r="L157" s="1078"/>
    </row>
    <row r="158" spans="2:12" ht="16.5">
      <c r="B158" s="1078"/>
      <c r="C158" s="1078"/>
      <c r="D158" s="1078"/>
      <c r="E158" s="1078"/>
      <c r="F158" s="1078"/>
      <c r="G158" s="1078"/>
      <c r="H158" s="1078"/>
      <c r="I158" s="1078"/>
      <c r="J158" s="1078"/>
      <c r="K158" s="1078"/>
      <c r="L158" s="1078"/>
    </row>
    <row r="159" spans="2:12" ht="16.5">
      <c r="B159" s="1078"/>
      <c r="C159" s="1078"/>
      <c r="D159" s="1078"/>
      <c r="E159" s="1078"/>
      <c r="F159" s="1078"/>
      <c r="G159" s="1078"/>
      <c r="H159" s="1078"/>
      <c r="I159" s="1078"/>
      <c r="J159" s="1078"/>
      <c r="K159" s="1078"/>
      <c r="L159" s="1078"/>
    </row>
    <row r="160" spans="2:12" ht="16.5">
      <c r="B160" s="1078"/>
      <c r="C160" s="1078"/>
      <c r="D160" s="1078"/>
      <c r="E160" s="1078"/>
      <c r="F160" s="1078"/>
      <c r="G160" s="1078"/>
      <c r="H160" s="1078"/>
      <c r="I160" s="1078"/>
      <c r="J160" s="1078"/>
      <c r="K160" s="1078"/>
      <c r="L160" s="1078"/>
    </row>
    <row r="161" spans="2:12" ht="16.5">
      <c r="B161" s="1078"/>
      <c r="C161" s="1078"/>
      <c r="D161" s="1078"/>
      <c r="E161" s="1078"/>
      <c r="F161" s="1078"/>
      <c r="G161" s="1078"/>
      <c r="H161" s="1078"/>
      <c r="I161" s="1078"/>
      <c r="J161" s="1078"/>
      <c r="K161" s="1078"/>
      <c r="L161" s="1078"/>
    </row>
    <row r="162" spans="2:12" ht="16.5">
      <c r="B162" s="1078"/>
      <c r="C162" s="1078"/>
      <c r="D162" s="1078"/>
      <c r="E162" s="1078"/>
      <c r="F162" s="1078"/>
      <c r="G162" s="1078"/>
      <c r="H162" s="1078"/>
      <c r="I162" s="1078"/>
      <c r="J162" s="1078"/>
      <c r="K162" s="1078"/>
      <c r="L162" s="1078"/>
    </row>
    <row r="163" spans="2:12" ht="16.5">
      <c r="B163" s="1078"/>
      <c r="C163" s="1078"/>
      <c r="D163" s="1078"/>
      <c r="E163" s="1078"/>
      <c r="F163" s="1078"/>
      <c r="G163" s="1078"/>
      <c r="H163" s="1078"/>
      <c r="I163" s="1078"/>
      <c r="J163" s="1078"/>
      <c r="K163" s="1078"/>
      <c r="L163" s="1078"/>
    </row>
    <row r="164" spans="2:12" ht="16.5">
      <c r="B164" s="1078"/>
      <c r="C164" s="1078"/>
      <c r="D164" s="1078"/>
      <c r="E164" s="1078"/>
      <c r="F164" s="1078"/>
      <c r="G164" s="1078"/>
      <c r="H164" s="1078"/>
      <c r="I164" s="1078"/>
      <c r="J164" s="1078"/>
      <c r="K164" s="1078"/>
      <c r="L164" s="1078"/>
    </row>
    <row r="165" spans="2:12" ht="16.5">
      <c r="B165" s="1078"/>
      <c r="C165" s="1078"/>
      <c r="D165" s="1078"/>
      <c r="E165" s="1078"/>
      <c r="F165" s="1078"/>
      <c r="G165" s="1078"/>
      <c r="H165" s="1078"/>
      <c r="I165" s="1078"/>
      <c r="J165" s="1078"/>
      <c r="K165" s="1078"/>
      <c r="L165" s="1078"/>
    </row>
    <row r="166" spans="2:12" ht="16.5">
      <c r="B166" s="1078"/>
      <c r="C166" s="1078"/>
      <c r="D166" s="1078"/>
      <c r="E166" s="1078"/>
      <c r="F166" s="1078"/>
      <c r="G166" s="1078"/>
      <c r="H166" s="1078"/>
      <c r="I166" s="1078"/>
      <c r="J166" s="1078"/>
      <c r="K166" s="1078"/>
      <c r="L166" s="1078"/>
    </row>
    <row r="167" spans="2:12" ht="16.5">
      <c r="B167" s="1078"/>
      <c r="C167" s="1078"/>
      <c r="D167" s="1078"/>
      <c r="E167" s="1078"/>
      <c r="F167" s="1078"/>
      <c r="G167" s="1078"/>
      <c r="H167" s="1078"/>
      <c r="I167" s="1078"/>
      <c r="J167" s="1078"/>
      <c r="K167" s="1078"/>
      <c r="L167" s="1078"/>
    </row>
    <row r="168" spans="2:12" ht="16.5">
      <c r="B168" s="1078"/>
      <c r="C168" s="1078"/>
      <c r="D168" s="1078"/>
      <c r="E168" s="1078"/>
      <c r="F168" s="1078"/>
      <c r="G168" s="1078"/>
      <c r="H168" s="1078"/>
      <c r="I168" s="1078"/>
      <c r="J168" s="1078"/>
      <c r="K168" s="1078"/>
      <c r="L168" s="1078"/>
    </row>
    <row r="169" spans="2:12" ht="16.5">
      <c r="B169" s="1078"/>
      <c r="C169" s="1078"/>
      <c r="D169" s="1078"/>
      <c r="E169" s="1078"/>
      <c r="F169" s="1078"/>
      <c r="G169" s="1078"/>
      <c r="H169" s="1078"/>
      <c r="I169" s="1078"/>
      <c r="J169" s="1078"/>
      <c r="K169" s="1078"/>
      <c r="L169" s="1078"/>
    </row>
    <row r="188" spans="1:3">
      <c r="A188" s="1067"/>
      <c r="B188" s="975"/>
      <c r="C188" s="975"/>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xr:uid="{00000000-0004-0000-0800-000000000000}"/>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352425</xdr:colOff>
                <xdr:row>3</xdr:row>
                <xdr:rowOff>152400</xdr:rowOff>
              </from>
              <to>
                <xdr:col>2</xdr:col>
                <xdr:colOff>1000125</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6c-EDIT</vt:lpstr>
      <vt:lpstr>6d - Prorated ADIT</vt:lpstr>
      <vt:lpstr>7 - True-Up</vt:lpstr>
      <vt:lpstr>8 - Const Loan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'2 - Cost Support '!Print_Area</vt:lpstr>
      <vt:lpstr>'2a - Cost Support'!Print_Area</vt:lpstr>
      <vt:lpstr>'3 - Incentives'!Print_Area</vt:lpstr>
      <vt:lpstr>'4 - Cap Adds'!Print_Area</vt:lpstr>
      <vt:lpstr>'5-Construction Loan'!Print_Area</vt:lpstr>
      <vt:lpstr>'6a- ADIT'!Print_Area</vt:lpstr>
      <vt:lpstr>'6b- ADIT'!Print_Area</vt:lpstr>
      <vt:lpstr>'6c-EDIT'!Print_Area</vt:lpstr>
      <vt:lpstr>'6d - Prorated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lpstr>'6d - Prorated ADIT'!Print_Titles</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2021-09-20T14:46:55Z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